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ugas\Bismillah TA Boss\"/>
    </mc:Choice>
  </mc:AlternateContent>
  <xr:revisionPtr revIDLastSave="0" documentId="13_ncr:1_{FDF0F2F7-1E4C-4E18-9896-1AFD8D0C3E6C}" xr6:coauthVersionLast="46" xr6:coauthVersionMax="46" xr10:uidLastSave="{00000000-0000-0000-0000-000000000000}"/>
  <bookViews>
    <workbookView xWindow="-120" yWindow="-120" windowWidth="20730" windowHeight="11160" firstSheet="2" activeTab="5" xr2:uid="{CC6A82FD-354F-4786-946D-A1625094088B}"/>
  </bookViews>
  <sheets>
    <sheet name="curah hujan sta cengklik" sheetId="1" r:id="rId1"/>
    <sheet name="hujan daerah" sheetId="4" r:id="rId2"/>
    <sheet name="anlsa frek,hjn rncn,chi-khadrat" sheetId="5" r:id="rId3"/>
    <sheet name="uji smirnov-kolmogorov" sheetId="8" r:id="rId4"/>
    <sheet name="USLE" sheetId="6" r:id="rId5"/>
    <sheet name="MUSLE" sheetId="7" r:id="rId6"/>
    <sheet name="Perbandingan" sheetId="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7" i="5" l="1"/>
  <c r="E159" i="6"/>
  <c r="E160" i="6"/>
  <c r="E161" i="6"/>
  <c r="E162" i="6"/>
  <c r="E163" i="6"/>
  <c r="E164" i="6"/>
  <c r="E165" i="6"/>
  <c r="E166" i="6"/>
  <c r="E167" i="6"/>
  <c r="E168" i="6"/>
  <c r="D109" i="7"/>
  <c r="D110" i="7"/>
  <c r="D111" i="7"/>
  <c r="D112" i="7"/>
  <c r="D113" i="7"/>
  <c r="D114" i="7"/>
  <c r="D115" i="7"/>
  <c r="D116" i="7"/>
  <c r="D117" i="7"/>
  <c r="D118" i="7"/>
  <c r="AF7" i="5"/>
  <c r="D140" i="6"/>
  <c r="D141" i="6"/>
  <c r="D142" i="6"/>
  <c r="D143" i="6"/>
  <c r="D144" i="6"/>
  <c r="D145" i="6"/>
  <c r="D146" i="6"/>
  <c r="D147" i="6"/>
  <c r="D148" i="6"/>
  <c r="D139" i="6"/>
  <c r="BG18" i="5" l="1"/>
  <c r="BG20" i="5" s="1"/>
  <c r="BE27" i="5" l="1"/>
  <c r="E53" i="7"/>
  <c r="E54" i="7"/>
  <c r="E55" i="7"/>
  <c r="E56" i="7"/>
  <c r="E57" i="7"/>
  <c r="E58" i="7"/>
  <c r="E59" i="7"/>
  <c r="E60" i="7"/>
  <c r="E61" i="7"/>
  <c r="E62" i="7"/>
  <c r="D23" i="7"/>
  <c r="E23" i="7"/>
  <c r="F23" i="7"/>
  <c r="G23" i="7"/>
  <c r="H23" i="7"/>
  <c r="I23" i="7"/>
  <c r="J23" i="7"/>
  <c r="P19" i="7"/>
  <c r="G81" i="6"/>
  <c r="D8" i="4"/>
  <c r="BG27" i="5" l="1"/>
  <c r="BE28" i="5" s="1"/>
  <c r="BG28" i="5" s="1"/>
  <c r="BE29" i="5" s="1"/>
  <c r="BG29" i="5" s="1"/>
  <c r="BE30" i="5" s="1"/>
  <c r="BG30" i="5" s="1"/>
  <c r="BE31" i="5" s="1"/>
  <c r="BG31" i="5" s="1"/>
  <c r="E16" i="7"/>
  <c r="G154" i="6"/>
  <c r="D92" i="7" l="1"/>
  <c r="D93" i="7"/>
  <c r="D94" i="7"/>
  <c r="D95" i="7"/>
  <c r="D96" i="7"/>
  <c r="D97" i="7"/>
  <c r="D98" i="7"/>
  <c r="D99" i="7"/>
  <c r="D100" i="7"/>
  <c r="D91" i="7"/>
  <c r="F74" i="7" l="1"/>
  <c r="F75" i="7"/>
  <c r="F76" i="7"/>
  <c r="F77" i="7"/>
  <c r="F78" i="7"/>
  <c r="F79" i="7"/>
  <c r="F80" i="7"/>
  <c r="F81" i="7"/>
  <c r="F82" i="7"/>
  <c r="E74" i="7"/>
  <c r="E75" i="7"/>
  <c r="E76" i="7"/>
  <c r="E77" i="7"/>
  <c r="E78" i="7"/>
  <c r="E79" i="7"/>
  <c r="E80" i="7"/>
  <c r="E81" i="7"/>
  <c r="E82" i="7"/>
  <c r="D74" i="7"/>
  <c r="D75" i="7"/>
  <c r="D76" i="7"/>
  <c r="D77" i="7"/>
  <c r="D78" i="7"/>
  <c r="D79" i="7"/>
  <c r="D80" i="7"/>
  <c r="D81" i="7"/>
  <c r="D82" i="7"/>
  <c r="F73" i="7"/>
  <c r="E73" i="7"/>
  <c r="D73" i="7"/>
  <c r="E37" i="7" l="1"/>
  <c r="E38" i="7"/>
  <c r="E39" i="7"/>
  <c r="E40" i="7"/>
  <c r="E41" i="7"/>
  <c r="E42" i="7"/>
  <c r="E43" i="7"/>
  <c r="E44" i="7"/>
  <c r="E45" i="7"/>
  <c r="E36" i="7"/>
  <c r="R4" i="7" l="1"/>
  <c r="E178" i="6"/>
  <c r="E179" i="6"/>
  <c r="E180" i="6"/>
  <c r="E181" i="6"/>
  <c r="E182" i="6"/>
  <c r="E183" i="6"/>
  <c r="E184" i="6"/>
  <c r="E185" i="6"/>
  <c r="E186" i="6"/>
  <c r="E177" i="6"/>
  <c r="H151" i="6"/>
  <c r="BJ31" i="5" l="1"/>
  <c r="BK31" i="5" s="1"/>
  <c r="BL31" i="5" s="1"/>
  <c r="BJ30" i="5"/>
  <c r="BK30" i="5" s="1"/>
  <c r="BL30" i="5" s="1"/>
  <c r="BJ29" i="5"/>
  <c r="BK29" i="5" s="1"/>
  <c r="BL29" i="5" s="1"/>
  <c r="BJ28" i="5"/>
  <c r="BK28" i="5" s="1"/>
  <c r="BL28" i="5" s="1"/>
  <c r="BJ27" i="5"/>
  <c r="BK27" i="5" s="1"/>
  <c r="BL27" i="5" s="1"/>
  <c r="F21" i="8"/>
  <c r="E13" i="8"/>
  <c r="F20" i="8" s="1"/>
  <c r="E14" i="8"/>
  <c r="F19" i="8" s="1"/>
  <c r="E15" i="8"/>
  <c r="F18" i="8" s="1"/>
  <c r="E16" i="8"/>
  <c r="F17" i="8" s="1"/>
  <c r="E17" i="8"/>
  <c r="F16" i="8" s="1"/>
  <c r="E18" i="8"/>
  <c r="F15" i="8" s="1"/>
  <c r="E19" i="8"/>
  <c r="F14" i="8" s="1"/>
  <c r="E20" i="8"/>
  <c r="F13" i="8" s="1"/>
  <c r="E21" i="8"/>
  <c r="E12" i="8"/>
  <c r="J22" i="7"/>
  <c r="I22" i="7"/>
  <c r="H22" i="7"/>
  <c r="G22" i="7"/>
  <c r="F22" i="7"/>
  <c r="E22" i="7"/>
  <c r="D22" i="7"/>
  <c r="C22" i="7"/>
  <c r="BL32" i="5" l="1"/>
  <c r="C14" i="7"/>
  <c r="E15" i="7"/>
  <c r="W8" i="5"/>
  <c r="W9" i="5"/>
  <c r="W10" i="5"/>
  <c r="W11" i="5"/>
  <c r="W12" i="5"/>
  <c r="W13" i="5"/>
  <c r="W14" i="5"/>
  <c r="W15" i="5"/>
  <c r="W16" i="5"/>
  <c r="W7" i="5"/>
  <c r="E6" i="5"/>
  <c r="C37" i="7" s="1"/>
  <c r="E7" i="5"/>
  <c r="C38" i="7" s="1"/>
  <c r="E8" i="5"/>
  <c r="C39" i="7" s="1"/>
  <c r="E9" i="5"/>
  <c r="C40" i="7" s="1"/>
  <c r="E10" i="5"/>
  <c r="C41" i="7" s="1"/>
  <c r="E11" i="5"/>
  <c r="C42" i="7" s="1"/>
  <c r="E12" i="5"/>
  <c r="C43" i="7" s="1"/>
  <c r="E13" i="5"/>
  <c r="C44" i="7" s="1"/>
  <c r="E14" i="5"/>
  <c r="C45" i="7" s="1"/>
  <c r="E5" i="5"/>
  <c r="C36" i="7" s="1"/>
  <c r="E14" i="7" l="1"/>
  <c r="D39" i="7"/>
  <c r="F39" i="7" s="1"/>
  <c r="D56" i="7" s="1"/>
  <c r="G56" i="7" s="1"/>
  <c r="D43" i="7"/>
  <c r="F43" i="7" s="1"/>
  <c r="D60" i="7" s="1"/>
  <c r="G60" i="7" s="1"/>
  <c r="D44" i="7"/>
  <c r="D42" i="7"/>
  <c r="F42" i="7" s="1"/>
  <c r="D59" i="7" s="1"/>
  <c r="G59" i="7" s="1"/>
  <c r="D40" i="7"/>
  <c r="F40" i="7" s="1"/>
  <c r="D57" i="7" s="1"/>
  <c r="G57" i="7" s="1"/>
  <c r="D37" i="7"/>
  <c r="F37" i="7" s="1"/>
  <c r="D54" i="7" s="1"/>
  <c r="G54" i="7" s="1"/>
  <c r="D41" i="7"/>
  <c r="F41" i="7" s="1"/>
  <c r="D58" i="7" s="1"/>
  <c r="G58" i="7" s="1"/>
  <c r="D45" i="7"/>
  <c r="F45" i="7" s="1"/>
  <c r="D62" i="7" s="1"/>
  <c r="G62" i="7" s="1"/>
  <c r="D38" i="7"/>
  <c r="F38" i="7" s="1"/>
  <c r="D55" i="7" s="1"/>
  <c r="G55" i="7" s="1"/>
  <c r="D36" i="7"/>
  <c r="F36" i="7" s="1"/>
  <c r="D53" i="7" s="1"/>
  <c r="G53" i="7" s="1"/>
  <c r="F44" i="7"/>
  <c r="D61" i="7" s="1"/>
  <c r="G61" i="7" s="1"/>
  <c r="E30" i="5"/>
  <c r="E26" i="5"/>
  <c r="E22" i="5"/>
  <c r="E29" i="5"/>
  <c r="E25" i="5"/>
  <c r="E28" i="5"/>
  <c r="E24" i="5"/>
  <c r="E21" i="5"/>
  <c r="E27" i="5"/>
  <c r="E23" i="5"/>
  <c r="G15" i="7"/>
  <c r="C19" i="7" s="1"/>
  <c r="D24" i="7" s="1"/>
  <c r="F22" i="5"/>
  <c r="C13" i="8" s="1"/>
  <c r="F23" i="5"/>
  <c r="C14" i="8" s="1"/>
  <c r="F24" i="5"/>
  <c r="C15" i="8" s="1"/>
  <c r="F25" i="5"/>
  <c r="C16" i="8" s="1"/>
  <c r="F26" i="5"/>
  <c r="C17" i="8" s="1"/>
  <c r="F27" i="5"/>
  <c r="C18" i="8" s="1"/>
  <c r="F28" i="5"/>
  <c r="C19" i="8" s="1"/>
  <c r="F29" i="5"/>
  <c r="C20" i="8" s="1"/>
  <c r="F30" i="5"/>
  <c r="C21" i="8" s="1"/>
  <c r="F21" i="5"/>
  <c r="C12" i="8" s="1"/>
  <c r="G6" i="5"/>
  <c r="F24" i="7" l="1"/>
  <c r="C23" i="7"/>
  <c r="C24" i="7" s="1"/>
  <c r="H24" i="7"/>
  <c r="E24" i="7"/>
  <c r="I24" i="7"/>
  <c r="J24" i="7"/>
  <c r="G24" i="7"/>
  <c r="G7" i="5"/>
  <c r="G8" i="5"/>
  <c r="G9" i="5"/>
  <c r="G10" i="5"/>
  <c r="G11" i="5"/>
  <c r="G12" i="5"/>
  <c r="G13" i="5"/>
  <c r="G14" i="5"/>
  <c r="E151" i="6" l="1"/>
  <c r="E154" i="6" s="1"/>
  <c r="C74" i="7" l="1"/>
  <c r="G74" i="7" s="1"/>
  <c r="C79" i="7"/>
  <c r="G79" i="7" s="1"/>
  <c r="C77" i="7"/>
  <c r="G77" i="7" s="1"/>
  <c r="C78" i="7"/>
  <c r="G78" i="7" s="1"/>
  <c r="C76" i="7"/>
  <c r="G76" i="7" s="1"/>
  <c r="C81" i="7"/>
  <c r="G81" i="7" s="1"/>
  <c r="C82" i="7"/>
  <c r="G82" i="7" s="1"/>
  <c r="C80" i="7"/>
  <c r="G80" i="7" s="1"/>
  <c r="C75" i="7"/>
  <c r="G75" i="7" s="1"/>
  <c r="C73" i="7"/>
  <c r="G73" i="7" s="1"/>
  <c r="C96" i="7" l="1"/>
  <c r="E96" i="7" s="1"/>
  <c r="C114" i="7" s="1"/>
  <c r="E114" i="7" s="1"/>
  <c r="C98" i="7"/>
  <c r="E98" i="7" s="1"/>
  <c r="C116" i="7" s="1"/>
  <c r="E116" i="7" s="1"/>
  <c r="C99" i="7"/>
  <c r="E99" i="7" s="1"/>
  <c r="C117" i="7" s="1"/>
  <c r="E117" i="7" s="1"/>
  <c r="C97" i="7"/>
  <c r="E97" i="7" s="1"/>
  <c r="C115" i="7" s="1"/>
  <c r="E115" i="7" s="1"/>
  <c r="C93" i="7"/>
  <c r="E93" i="7" s="1"/>
  <c r="C111" i="7" s="1"/>
  <c r="E111" i="7" s="1"/>
  <c r="C100" i="7"/>
  <c r="E100" i="7" s="1"/>
  <c r="C118" i="7" s="1"/>
  <c r="E118" i="7" s="1"/>
  <c r="C94" i="7"/>
  <c r="E94" i="7" s="1"/>
  <c r="C112" i="7" s="1"/>
  <c r="E112" i="7" s="1"/>
  <c r="C95" i="7"/>
  <c r="E95" i="7" s="1"/>
  <c r="C113" i="7" s="1"/>
  <c r="E113" i="7" s="1"/>
  <c r="C92" i="7"/>
  <c r="E92" i="7" s="1"/>
  <c r="C110" i="7" s="1"/>
  <c r="E110" i="7" s="1"/>
  <c r="G83" i="7"/>
  <c r="E85" i="7" s="1"/>
  <c r="E7" i="9" s="1"/>
  <c r="C91" i="7"/>
  <c r="E91" i="7" s="1"/>
  <c r="H143" i="6"/>
  <c r="D163" i="6" s="1"/>
  <c r="F163" i="6" s="1"/>
  <c r="D181" i="6" s="1"/>
  <c r="F181" i="6" s="1"/>
  <c r="H146" i="6"/>
  <c r="D166" i="6" s="1"/>
  <c r="F166" i="6" s="1"/>
  <c r="D184" i="6" s="1"/>
  <c r="F184" i="6" s="1"/>
  <c r="H147" i="6"/>
  <c r="D167" i="6" s="1"/>
  <c r="F167" i="6" s="1"/>
  <c r="D185" i="6" s="1"/>
  <c r="F185" i="6" s="1"/>
  <c r="H140" i="6"/>
  <c r="D160" i="6" s="1"/>
  <c r="F160" i="6" s="1"/>
  <c r="D178" i="6" s="1"/>
  <c r="F178" i="6" s="1"/>
  <c r="H141" i="6"/>
  <c r="D161" i="6" s="1"/>
  <c r="F161" i="6" s="1"/>
  <c r="D179" i="6" s="1"/>
  <c r="F179" i="6" s="1"/>
  <c r="H142" i="6"/>
  <c r="D162" i="6" s="1"/>
  <c r="F162" i="6" s="1"/>
  <c r="D180" i="6" s="1"/>
  <c r="F180" i="6" s="1"/>
  <c r="H144" i="6"/>
  <c r="D164" i="6" s="1"/>
  <c r="F164" i="6" s="1"/>
  <c r="D182" i="6" s="1"/>
  <c r="F182" i="6" s="1"/>
  <c r="H145" i="6"/>
  <c r="D165" i="6" s="1"/>
  <c r="F165" i="6" s="1"/>
  <c r="D183" i="6" s="1"/>
  <c r="F183" i="6" s="1"/>
  <c r="H148" i="6"/>
  <c r="D168" i="6" s="1"/>
  <c r="F168" i="6" s="1"/>
  <c r="D186" i="6" s="1"/>
  <c r="F186" i="6" s="1"/>
  <c r="H139" i="6"/>
  <c r="R27" i="1"/>
  <c r="R26" i="1"/>
  <c r="R25" i="1"/>
  <c r="R24" i="1"/>
  <c r="R23" i="1"/>
  <c r="R22" i="1"/>
  <c r="R21" i="1"/>
  <c r="R20" i="1"/>
  <c r="R19" i="1"/>
  <c r="R18" i="1"/>
  <c r="X8" i="5"/>
  <c r="X9" i="5"/>
  <c r="X10" i="5"/>
  <c r="X11" i="5"/>
  <c r="X12" i="5"/>
  <c r="X13" i="5"/>
  <c r="X14" i="5"/>
  <c r="X15" i="5"/>
  <c r="X16" i="5"/>
  <c r="D17" i="4"/>
  <c r="D16" i="4"/>
  <c r="N397" i="1"/>
  <c r="N398" i="1" s="1"/>
  <c r="N399" i="1" s="1"/>
  <c r="M397" i="1"/>
  <c r="M398" i="1" s="1"/>
  <c r="M399" i="1" s="1"/>
  <c r="L397" i="1"/>
  <c r="L398" i="1" s="1"/>
  <c r="L399" i="1" s="1"/>
  <c r="K397" i="1"/>
  <c r="K398" i="1" s="1"/>
  <c r="K399" i="1" s="1"/>
  <c r="J397" i="1"/>
  <c r="J398" i="1" s="1"/>
  <c r="J399" i="1" s="1"/>
  <c r="I397" i="1"/>
  <c r="I398" i="1" s="1"/>
  <c r="I399" i="1" s="1"/>
  <c r="H397" i="1"/>
  <c r="H398" i="1" s="1"/>
  <c r="H399" i="1" s="1"/>
  <c r="G397" i="1"/>
  <c r="G398" i="1" s="1"/>
  <c r="G399" i="1" s="1"/>
  <c r="F397" i="1"/>
  <c r="F398" i="1" s="1"/>
  <c r="F399" i="1" s="1"/>
  <c r="E397" i="1"/>
  <c r="E398" i="1" s="1"/>
  <c r="E399" i="1" s="1"/>
  <c r="D397" i="1"/>
  <c r="D398" i="1" s="1"/>
  <c r="D399" i="1" s="1"/>
  <c r="C397" i="1"/>
  <c r="C398" i="1" s="1"/>
  <c r="C399" i="1" s="1"/>
  <c r="N357" i="1"/>
  <c r="N358" i="1" s="1"/>
  <c r="N359" i="1" s="1"/>
  <c r="M357" i="1"/>
  <c r="M358" i="1" s="1"/>
  <c r="M359" i="1" s="1"/>
  <c r="L357" i="1"/>
  <c r="L358" i="1" s="1"/>
  <c r="L359" i="1" s="1"/>
  <c r="K357" i="1"/>
  <c r="K358" i="1" s="1"/>
  <c r="K359" i="1" s="1"/>
  <c r="J357" i="1"/>
  <c r="J358" i="1" s="1"/>
  <c r="J359" i="1" s="1"/>
  <c r="I357" i="1"/>
  <c r="I358" i="1" s="1"/>
  <c r="I359" i="1" s="1"/>
  <c r="H357" i="1"/>
  <c r="H358" i="1" s="1"/>
  <c r="H359" i="1" s="1"/>
  <c r="G357" i="1"/>
  <c r="G358" i="1" s="1"/>
  <c r="G359" i="1" s="1"/>
  <c r="F357" i="1"/>
  <c r="F358" i="1" s="1"/>
  <c r="F359" i="1" s="1"/>
  <c r="E357" i="1"/>
  <c r="E358" i="1" s="1"/>
  <c r="E359" i="1" s="1"/>
  <c r="D357" i="1"/>
  <c r="D358" i="1" s="1"/>
  <c r="D359" i="1" s="1"/>
  <c r="C357" i="1"/>
  <c r="C358" i="1" s="1"/>
  <c r="C359" i="1" s="1"/>
  <c r="C360" i="1" s="1"/>
  <c r="E102" i="7" l="1"/>
  <c r="C7" i="9" s="1"/>
  <c r="C109" i="7"/>
  <c r="E109" i="7" s="1"/>
  <c r="E121" i="7" s="1"/>
  <c r="E122" i="7" s="1"/>
  <c r="G7" i="9" s="1"/>
  <c r="D159" i="6"/>
  <c r="F159" i="6" s="1"/>
  <c r="F170" i="6" s="1"/>
  <c r="C6" i="9" s="1"/>
  <c r="K142" i="6"/>
  <c r="G6" i="9" s="1"/>
  <c r="K141" i="6"/>
  <c r="C400" i="1"/>
  <c r="G132" i="6"/>
  <c r="D6" i="9" l="1"/>
  <c r="H6" i="9"/>
  <c r="D177" i="6"/>
  <c r="F177" i="6" s="1"/>
  <c r="F187" i="6" s="1"/>
  <c r="F189" i="6" s="1"/>
  <c r="E6" i="9" s="1"/>
  <c r="F6" i="9" s="1"/>
  <c r="AB8" i="5"/>
  <c r="AB9" i="5"/>
  <c r="AB10" i="5"/>
  <c r="AB11" i="5"/>
  <c r="AB12" i="5"/>
  <c r="AB13" i="5"/>
  <c r="AB14" i="5"/>
  <c r="AB15" i="5"/>
  <c r="AB16" i="5"/>
  <c r="AB7" i="5"/>
  <c r="X7" i="5"/>
  <c r="R11" i="5"/>
  <c r="F31" i="5"/>
  <c r="G23" i="5" s="1"/>
  <c r="H23" i="5" s="1"/>
  <c r="F15" i="5"/>
  <c r="G5" i="5"/>
  <c r="G15" i="5" s="1"/>
  <c r="D15" i="4"/>
  <c r="D14" i="4"/>
  <c r="D13" i="4"/>
  <c r="D12" i="4"/>
  <c r="D11" i="4"/>
  <c r="D10" i="4"/>
  <c r="D9" i="4"/>
  <c r="N317" i="1"/>
  <c r="N318" i="1" s="1"/>
  <c r="N319" i="1" s="1"/>
  <c r="M317" i="1"/>
  <c r="M318" i="1" s="1"/>
  <c r="M319" i="1" s="1"/>
  <c r="L317" i="1"/>
  <c r="L318" i="1" s="1"/>
  <c r="L319" i="1" s="1"/>
  <c r="K317" i="1"/>
  <c r="K318" i="1" s="1"/>
  <c r="K319" i="1" s="1"/>
  <c r="J317" i="1"/>
  <c r="J318" i="1" s="1"/>
  <c r="J319" i="1" s="1"/>
  <c r="I317" i="1"/>
  <c r="I318" i="1" s="1"/>
  <c r="I319" i="1" s="1"/>
  <c r="H317" i="1"/>
  <c r="H318" i="1" s="1"/>
  <c r="H319" i="1" s="1"/>
  <c r="G317" i="1"/>
  <c r="G318" i="1" s="1"/>
  <c r="G319" i="1" s="1"/>
  <c r="F317" i="1"/>
  <c r="F318" i="1" s="1"/>
  <c r="F319" i="1" s="1"/>
  <c r="E317" i="1"/>
  <c r="E318" i="1" s="1"/>
  <c r="E319" i="1" s="1"/>
  <c r="D317" i="1"/>
  <c r="D318" i="1" s="1"/>
  <c r="D319" i="1" s="1"/>
  <c r="C317" i="1"/>
  <c r="C318" i="1" s="1"/>
  <c r="C319" i="1" s="1"/>
  <c r="C320" i="1" s="1"/>
  <c r="N277" i="1"/>
  <c r="N278" i="1" s="1"/>
  <c r="N279" i="1" s="1"/>
  <c r="M277" i="1"/>
  <c r="M278" i="1" s="1"/>
  <c r="M279" i="1" s="1"/>
  <c r="L277" i="1"/>
  <c r="L278" i="1" s="1"/>
  <c r="L279" i="1" s="1"/>
  <c r="K277" i="1"/>
  <c r="K278" i="1" s="1"/>
  <c r="K279" i="1" s="1"/>
  <c r="J277" i="1"/>
  <c r="J278" i="1" s="1"/>
  <c r="J279" i="1" s="1"/>
  <c r="I277" i="1"/>
  <c r="I278" i="1" s="1"/>
  <c r="I279" i="1" s="1"/>
  <c r="H277" i="1"/>
  <c r="H278" i="1" s="1"/>
  <c r="H279" i="1" s="1"/>
  <c r="G277" i="1"/>
  <c r="G278" i="1" s="1"/>
  <c r="G279" i="1" s="1"/>
  <c r="F277" i="1"/>
  <c r="F278" i="1" s="1"/>
  <c r="F279" i="1" s="1"/>
  <c r="E277" i="1"/>
  <c r="E278" i="1" s="1"/>
  <c r="E279" i="1" s="1"/>
  <c r="D277" i="1"/>
  <c r="D278" i="1" s="1"/>
  <c r="D279" i="1" s="1"/>
  <c r="C277" i="1"/>
  <c r="C278" i="1" s="1"/>
  <c r="C279" i="1" s="1"/>
  <c r="C280" i="1" s="1"/>
  <c r="N237" i="1"/>
  <c r="N238" i="1" s="1"/>
  <c r="N239" i="1" s="1"/>
  <c r="M237" i="1"/>
  <c r="M238" i="1" s="1"/>
  <c r="M239" i="1" s="1"/>
  <c r="L237" i="1"/>
  <c r="L238" i="1" s="1"/>
  <c r="L239" i="1" s="1"/>
  <c r="K237" i="1"/>
  <c r="K238" i="1" s="1"/>
  <c r="K239" i="1" s="1"/>
  <c r="J237" i="1"/>
  <c r="J238" i="1" s="1"/>
  <c r="J239" i="1" s="1"/>
  <c r="I237" i="1"/>
  <c r="I238" i="1" s="1"/>
  <c r="I239" i="1" s="1"/>
  <c r="H237" i="1"/>
  <c r="H238" i="1" s="1"/>
  <c r="H239" i="1" s="1"/>
  <c r="G237" i="1"/>
  <c r="G238" i="1" s="1"/>
  <c r="G239" i="1" s="1"/>
  <c r="F237" i="1"/>
  <c r="F238" i="1" s="1"/>
  <c r="F239" i="1" s="1"/>
  <c r="E237" i="1"/>
  <c r="E238" i="1" s="1"/>
  <c r="E239" i="1" s="1"/>
  <c r="D237" i="1"/>
  <c r="D238" i="1" s="1"/>
  <c r="D239" i="1" s="1"/>
  <c r="C237" i="1"/>
  <c r="C238" i="1" s="1"/>
  <c r="C239" i="1" s="1"/>
  <c r="C240" i="1" s="1"/>
  <c r="N197" i="1"/>
  <c r="N198" i="1" s="1"/>
  <c r="N199" i="1" s="1"/>
  <c r="M197" i="1"/>
  <c r="M198" i="1" s="1"/>
  <c r="M199" i="1" s="1"/>
  <c r="L197" i="1"/>
  <c r="L198" i="1" s="1"/>
  <c r="L199" i="1" s="1"/>
  <c r="K197" i="1"/>
  <c r="K198" i="1" s="1"/>
  <c r="K199" i="1" s="1"/>
  <c r="J197" i="1"/>
  <c r="J198" i="1" s="1"/>
  <c r="J199" i="1" s="1"/>
  <c r="I197" i="1"/>
  <c r="I198" i="1" s="1"/>
  <c r="I199" i="1" s="1"/>
  <c r="H197" i="1"/>
  <c r="H198" i="1" s="1"/>
  <c r="H199" i="1" s="1"/>
  <c r="G197" i="1"/>
  <c r="G198" i="1" s="1"/>
  <c r="G199" i="1" s="1"/>
  <c r="F197" i="1"/>
  <c r="F198" i="1" s="1"/>
  <c r="F199" i="1" s="1"/>
  <c r="E197" i="1"/>
  <c r="E198" i="1" s="1"/>
  <c r="E199" i="1" s="1"/>
  <c r="D197" i="1"/>
  <c r="D198" i="1" s="1"/>
  <c r="D199" i="1" s="1"/>
  <c r="C197" i="1"/>
  <c r="C198" i="1" s="1"/>
  <c r="C199" i="1" s="1"/>
  <c r="C200" i="1" s="1"/>
  <c r="N157" i="1"/>
  <c r="N158" i="1" s="1"/>
  <c r="N159" i="1" s="1"/>
  <c r="M157" i="1"/>
  <c r="M158" i="1" s="1"/>
  <c r="M159" i="1" s="1"/>
  <c r="L157" i="1"/>
  <c r="L158" i="1" s="1"/>
  <c r="L159" i="1" s="1"/>
  <c r="K157" i="1"/>
  <c r="K158" i="1" s="1"/>
  <c r="K159" i="1" s="1"/>
  <c r="J157" i="1"/>
  <c r="J158" i="1" s="1"/>
  <c r="J159" i="1" s="1"/>
  <c r="I157" i="1"/>
  <c r="I158" i="1" s="1"/>
  <c r="I159" i="1" s="1"/>
  <c r="H157" i="1"/>
  <c r="H158" i="1" s="1"/>
  <c r="H159" i="1" s="1"/>
  <c r="G157" i="1"/>
  <c r="G158" i="1" s="1"/>
  <c r="G159" i="1" s="1"/>
  <c r="F157" i="1"/>
  <c r="F158" i="1" s="1"/>
  <c r="F159" i="1" s="1"/>
  <c r="E157" i="1"/>
  <c r="E158" i="1" s="1"/>
  <c r="E159" i="1" s="1"/>
  <c r="D157" i="1"/>
  <c r="D158" i="1" s="1"/>
  <c r="D159" i="1" s="1"/>
  <c r="C157" i="1"/>
  <c r="C158" i="1" s="1"/>
  <c r="C159" i="1" s="1"/>
  <c r="C160" i="1" s="1"/>
  <c r="N117" i="1"/>
  <c r="N118" i="1" s="1"/>
  <c r="N119" i="1" s="1"/>
  <c r="M117" i="1"/>
  <c r="M118" i="1" s="1"/>
  <c r="M119" i="1" s="1"/>
  <c r="L117" i="1"/>
  <c r="L118" i="1" s="1"/>
  <c r="L119" i="1" s="1"/>
  <c r="K117" i="1"/>
  <c r="K118" i="1" s="1"/>
  <c r="K119" i="1" s="1"/>
  <c r="J117" i="1"/>
  <c r="J118" i="1" s="1"/>
  <c r="J119" i="1" s="1"/>
  <c r="I117" i="1"/>
  <c r="I118" i="1" s="1"/>
  <c r="I119" i="1" s="1"/>
  <c r="H117" i="1"/>
  <c r="H118" i="1" s="1"/>
  <c r="H119" i="1" s="1"/>
  <c r="G117" i="1"/>
  <c r="G118" i="1" s="1"/>
  <c r="G119" i="1" s="1"/>
  <c r="F117" i="1"/>
  <c r="F118" i="1" s="1"/>
  <c r="F119" i="1" s="1"/>
  <c r="E117" i="1"/>
  <c r="E118" i="1" s="1"/>
  <c r="E119" i="1" s="1"/>
  <c r="D117" i="1"/>
  <c r="D118" i="1" s="1"/>
  <c r="D119" i="1" s="1"/>
  <c r="C117" i="1"/>
  <c r="C118" i="1" s="1"/>
  <c r="C119" i="1" s="1"/>
  <c r="C120" i="1" s="1"/>
  <c r="N77" i="1"/>
  <c r="N78" i="1" s="1"/>
  <c r="N79" i="1" s="1"/>
  <c r="M77" i="1"/>
  <c r="M78" i="1" s="1"/>
  <c r="M79" i="1" s="1"/>
  <c r="L77" i="1"/>
  <c r="L78" i="1" s="1"/>
  <c r="L79" i="1" s="1"/>
  <c r="K77" i="1"/>
  <c r="K78" i="1" s="1"/>
  <c r="K79" i="1" s="1"/>
  <c r="J77" i="1"/>
  <c r="J78" i="1" s="1"/>
  <c r="J79" i="1" s="1"/>
  <c r="I77" i="1"/>
  <c r="I78" i="1" s="1"/>
  <c r="I79" i="1" s="1"/>
  <c r="H77" i="1"/>
  <c r="H78" i="1" s="1"/>
  <c r="H79" i="1" s="1"/>
  <c r="G77" i="1"/>
  <c r="G78" i="1" s="1"/>
  <c r="G79" i="1" s="1"/>
  <c r="F77" i="1"/>
  <c r="F78" i="1" s="1"/>
  <c r="F79" i="1" s="1"/>
  <c r="E77" i="1"/>
  <c r="E78" i="1" s="1"/>
  <c r="E79" i="1" s="1"/>
  <c r="D77" i="1"/>
  <c r="D78" i="1" s="1"/>
  <c r="D79" i="1" s="1"/>
  <c r="C77" i="1"/>
  <c r="C78" i="1" s="1"/>
  <c r="C79" i="1" s="1"/>
  <c r="C80" i="1" s="1"/>
  <c r="C40" i="1"/>
  <c r="D39" i="1"/>
  <c r="E39" i="1"/>
  <c r="F39" i="1"/>
  <c r="G39" i="1"/>
  <c r="H39" i="1"/>
  <c r="I39" i="1"/>
  <c r="J39" i="1"/>
  <c r="K39" i="1"/>
  <c r="L39" i="1"/>
  <c r="M39" i="1"/>
  <c r="N39" i="1"/>
  <c r="C39" i="1"/>
  <c r="D38" i="1"/>
  <c r="E38" i="1"/>
  <c r="F38" i="1"/>
  <c r="G38" i="1"/>
  <c r="H38" i="1"/>
  <c r="I38" i="1"/>
  <c r="J38" i="1"/>
  <c r="K38" i="1"/>
  <c r="L38" i="1"/>
  <c r="M38" i="1"/>
  <c r="N38" i="1"/>
  <c r="C38" i="1"/>
  <c r="D37" i="1"/>
  <c r="E37" i="1"/>
  <c r="F37" i="1"/>
  <c r="G37" i="1"/>
  <c r="H37" i="1"/>
  <c r="I37" i="1"/>
  <c r="J37" i="1"/>
  <c r="K37" i="1"/>
  <c r="L37" i="1"/>
  <c r="M37" i="1"/>
  <c r="N37" i="1"/>
  <c r="C37" i="1"/>
  <c r="Y7" i="5" l="1"/>
  <c r="G30" i="5"/>
  <c r="H30" i="5" s="1"/>
  <c r="G26" i="5"/>
  <c r="H26" i="5" s="1"/>
  <c r="G22" i="5"/>
  <c r="H22" i="5" s="1"/>
  <c r="F16" i="5"/>
  <c r="G29" i="5"/>
  <c r="H29" i="5" s="1"/>
  <c r="G25" i="5"/>
  <c r="H25" i="5" s="1"/>
  <c r="G28" i="5"/>
  <c r="H28" i="5" s="1"/>
  <c r="G24" i="5"/>
  <c r="H24" i="5" s="1"/>
  <c r="G21" i="5"/>
  <c r="H21" i="5" s="1"/>
  <c r="G27" i="5"/>
  <c r="H27" i="5" s="1"/>
  <c r="Y14" i="5"/>
  <c r="Y16" i="5"/>
  <c r="Y13" i="5"/>
  <c r="Y11" i="5"/>
  <c r="Y9" i="5"/>
  <c r="X17" i="5"/>
  <c r="X18" i="5" s="1"/>
  <c r="Y8" i="5"/>
  <c r="Y10" i="5"/>
  <c r="Y12" i="5"/>
  <c r="Y15" i="5"/>
  <c r="Z10" i="5" l="1"/>
  <c r="Z12" i="5"/>
  <c r="Z9" i="5"/>
  <c r="Z15" i="5"/>
  <c r="Z14" i="5"/>
  <c r="Z16" i="5"/>
  <c r="Z11" i="5"/>
  <c r="Z13" i="5"/>
  <c r="Z8" i="5"/>
  <c r="H9" i="5"/>
  <c r="H13" i="5"/>
  <c r="H6" i="5"/>
  <c r="H10" i="5"/>
  <c r="H14" i="5"/>
  <c r="H7" i="5"/>
  <c r="H11" i="5"/>
  <c r="H5" i="5"/>
  <c r="H8" i="5"/>
  <c r="H12" i="5"/>
  <c r="Z7" i="5"/>
  <c r="Z17" i="5" s="1"/>
  <c r="AE24" i="5" s="1"/>
  <c r="A6" i="5"/>
  <c r="B6" i="5" s="1"/>
  <c r="A10" i="5"/>
  <c r="B10" i="5" s="1"/>
  <c r="A14" i="5"/>
  <c r="B14" i="5" s="1"/>
  <c r="A7" i="5"/>
  <c r="B7" i="5" s="1"/>
  <c r="A11" i="5"/>
  <c r="B11" i="5" s="1"/>
  <c r="A5" i="5"/>
  <c r="B5" i="5" s="1"/>
  <c r="A8" i="5"/>
  <c r="B8" i="5" s="1"/>
  <c r="A12" i="5"/>
  <c r="B12" i="5" s="1"/>
  <c r="A9" i="5"/>
  <c r="B9" i="5" s="1"/>
  <c r="A13" i="5"/>
  <c r="B13" i="5" s="1"/>
  <c r="I8" i="5"/>
  <c r="E8" i="8"/>
  <c r="AK19" i="5"/>
  <c r="AK23" i="5"/>
  <c r="AK20" i="5"/>
  <c r="AK24" i="5"/>
  <c r="AK21" i="5"/>
  <c r="AK25" i="5"/>
  <c r="AK22" i="5"/>
  <c r="AK18" i="5"/>
  <c r="I6" i="5"/>
  <c r="J11" i="5"/>
  <c r="J12" i="5"/>
  <c r="J14" i="5"/>
  <c r="J13" i="5"/>
  <c r="J9" i="5"/>
  <c r="N6" i="5"/>
  <c r="I13" i="5"/>
  <c r="AA8" i="5"/>
  <c r="AA12" i="5"/>
  <c r="AA16" i="5"/>
  <c r="AA15" i="5"/>
  <c r="AA9" i="5"/>
  <c r="AA13" i="5"/>
  <c r="AA10" i="5"/>
  <c r="AA14" i="5"/>
  <c r="AA11" i="5"/>
  <c r="J7" i="5"/>
  <c r="J10" i="5"/>
  <c r="I5" i="5"/>
  <c r="I14" i="5"/>
  <c r="J8" i="5"/>
  <c r="I9" i="5"/>
  <c r="I12" i="5"/>
  <c r="J6" i="5"/>
  <c r="I7" i="5"/>
  <c r="I10" i="5"/>
  <c r="I11" i="5"/>
  <c r="J5" i="5"/>
  <c r="AA7" i="5"/>
  <c r="Y17" i="5"/>
  <c r="H15" i="5" l="1"/>
  <c r="N8" i="5" s="1"/>
  <c r="E9" i="8" s="1"/>
  <c r="G15" i="8" s="1"/>
  <c r="B15" i="5"/>
  <c r="B17" i="5" s="1"/>
  <c r="G14" i="8"/>
  <c r="AM19" i="5"/>
  <c r="AM20" i="5"/>
  <c r="AM24" i="5"/>
  <c r="AM18" i="5"/>
  <c r="AM23" i="5"/>
  <c r="AM21" i="5"/>
  <c r="AM25" i="5"/>
  <c r="AM22" i="5"/>
  <c r="I15" i="5"/>
  <c r="J15" i="5"/>
  <c r="N14" i="5" s="1"/>
  <c r="AA17" i="5"/>
  <c r="G20" i="8" l="1"/>
  <c r="H20" i="8" s="1"/>
  <c r="G13" i="8"/>
  <c r="H13" i="8" s="1"/>
  <c r="G12" i="8"/>
  <c r="H12" i="8" s="1"/>
  <c r="G21" i="8"/>
  <c r="H21" i="8" s="1"/>
  <c r="G16" i="8"/>
  <c r="G19" i="8"/>
  <c r="H19" i="8" s="1"/>
  <c r="G18" i="8"/>
  <c r="H18" i="8" s="1"/>
  <c r="G17" i="8"/>
  <c r="H17" i="8" s="1"/>
  <c r="AF9" i="5"/>
  <c r="AJ9" i="5" s="1"/>
  <c r="AO9" i="5" s="1"/>
  <c r="AN5" i="5" s="1"/>
  <c r="AL22" i="5" s="1"/>
  <c r="AN22" i="5" s="1"/>
  <c r="AO22" i="5" s="1"/>
  <c r="AP22" i="5" s="1"/>
  <c r="AE15" i="5"/>
  <c r="N10" i="5"/>
  <c r="N12" i="5"/>
  <c r="N16" i="5" s="1"/>
  <c r="H16" i="8"/>
  <c r="F12" i="8"/>
  <c r="H15" i="8"/>
  <c r="H14" i="8"/>
  <c r="AL9" i="5" l="1"/>
  <c r="AK5" i="5" s="1"/>
  <c r="AL19" i="5" s="1"/>
  <c r="AN19" i="5" s="1"/>
  <c r="AO19" i="5" s="1"/>
  <c r="AP19" i="5" s="1"/>
  <c r="AM9" i="5"/>
  <c r="AL5" i="5" s="1"/>
  <c r="AL20" i="5" s="1"/>
  <c r="AN20" i="5" s="1"/>
  <c r="AO20" i="5" s="1"/>
  <c r="AP20" i="5" s="1"/>
  <c r="AN9" i="5"/>
  <c r="AM5" i="5" s="1"/>
  <c r="AL21" i="5" s="1"/>
  <c r="AN21" i="5" s="1"/>
  <c r="AO21" i="5" s="1"/>
  <c r="AP21" i="5" s="1"/>
  <c r="AP9" i="5"/>
  <c r="AO5" i="5" s="1"/>
  <c r="AL23" i="5" s="1"/>
  <c r="AN23" i="5" s="1"/>
  <c r="AO23" i="5" s="1"/>
  <c r="AP23" i="5" s="1"/>
  <c r="AQ9" i="5"/>
  <c r="AP5" i="5" s="1"/>
  <c r="AL24" i="5" s="1"/>
  <c r="AN24" i="5" s="1"/>
  <c r="AO24" i="5" s="1"/>
  <c r="AP24" i="5" s="1"/>
  <c r="AR9" i="5"/>
  <c r="AQ5" i="5" s="1"/>
  <c r="AL25" i="5" s="1"/>
  <c r="AN25" i="5" s="1"/>
  <c r="AO25" i="5" s="1"/>
  <c r="AP25" i="5" s="1"/>
  <c r="AK9" i="5"/>
  <c r="AJ5" i="5" s="1"/>
  <c r="AL18" i="5" s="1"/>
  <c r="AN18" i="5" s="1"/>
  <c r="AO18" i="5" s="1"/>
  <c r="AP18" i="5" s="1"/>
  <c r="H22" i="8"/>
  <c r="H23" i="8"/>
  <c r="I14" i="8" s="1"/>
  <c r="J14" i="8" s="1"/>
  <c r="K14" i="8" s="1"/>
  <c r="L14" i="8" s="1"/>
  <c r="I20" i="8" l="1"/>
  <c r="J20" i="8" s="1"/>
  <c r="K20" i="8" s="1"/>
  <c r="L20" i="8" s="1"/>
  <c r="I21" i="8"/>
  <c r="J21" i="8" s="1"/>
  <c r="K21" i="8" s="1"/>
  <c r="L21" i="8" s="1"/>
  <c r="I16" i="8"/>
  <c r="J16" i="8" s="1"/>
  <c r="K16" i="8" s="1"/>
  <c r="L16" i="8" s="1"/>
  <c r="I12" i="8"/>
  <c r="J12" i="8" s="1"/>
  <c r="K12" i="8" s="1"/>
  <c r="L12" i="8" s="1"/>
  <c r="I19" i="8"/>
  <c r="J19" i="8" s="1"/>
  <c r="K19" i="8" s="1"/>
  <c r="L19" i="8" s="1"/>
  <c r="I15" i="8"/>
  <c r="J15" i="8" s="1"/>
  <c r="K15" i="8" s="1"/>
  <c r="L15" i="8" s="1"/>
  <c r="I18" i="8"/>
  <c r="J18" i="8" s="1"/>
  <c r="K18" i="8" s="1"/>
  <c r="L18" i="8" s="1"/>
  <c r="I13" i="8"/>
  <c r="J13" i="8" s="1"/>
  <c r="K13" i="8" s="1"/>
  <c r="L13" i="8" s="1"/>
  <c r="I17" i="8"/>
  <c r="J17" i="8" s="1"/>
  <c r="K17" i="8" s="1"/>
  <c r="L17" i="8" s="1"/>
  <c r="L22" i="8" l="1"/>
</calcChain>
</file>

<file path=xl/sharedStrings.xml><?xml version="1.0" encoding="utf-8"?>
<sst xmlns="http://schemas.openxmlformats.org/spreadsheetml/2006/main" count="595" uniqueCount="329">
  <si>
    <t>Tanggal</t>
  </si>
  <si>
    <t>Jan</t>
  </si>
  <si>
    <t>Feb</t>
  </si>
  <si>
    <t>Mar</t>
  </si>
  <si>
    <t>Apr</t>
  </si>
  <si>
    <t>Mei</t>
  </si>
  <si>
    <t>Jun</t>
  </si>
  <si>
    <t>Bulan</t>
  </si>
  <si>
    <t>Jul</t>
  </si>
  <si>
    <t>Ags</t>
  </si>
  <si>
    <t>Sep</t>
  </si>
  <si>
    <t>Okt</t>
  </si>
  <si>
    <t>Nop</t>
  </si>
  <si>
    <t>Des</t>
  </si>
  <si>
    <t>Tahun 2010</t>
  </si>
  <si>
    <t>cara mencari R</t>
  </si>
  <si>
    <t>jumlah hujan (mm)</t>
  </si>
  <si>
    <t>jumlah hujan (cm)</t>
  </si>
  <si>
    <t>R</t>
  </si>
  <si>
    <t>R total</t>
  </si>
  <si>
    <t>CURAH HUJAN STA CENGKLIK</t>
  </si>
  <si>
    <t>Tahun 2011</t>
  </si>
  <si>
    <t>Jumlah hujan (mm)</t>
  </si>
  <si>
    <t>Jumlah hujan (cm)</t>
  </si>
  <si>
    <t>Tahun 2012</t>
  </si>
  <si>
    <t>Tahun 2013</t>
  </si>
  <si>
    <t>Tahun 2014</t>
  </si>
  <si>
    <t>Tahun 2015</t>
  </si>
  <si>
    <t>Tahun 2016</t>
  </si>
  <si>
    <t>Tahun 2017</t>
  </si>
  <si>
    <t>Tahun 2018</t>
  </si>
  <si>
    <t>Hujan Daerah Harian Maksimum Tahunan</t>
  </si>
  <si>
    <t>Tahun</t>
  </si>
  <si>
    <t>Hujan Harian Maksimum</t>
  </si>
  <si>
    <t>(mm)</t>
  </si>
  <si>
    <t>Sta. Cengklik</t>
  </si>
  <si>
    <t>No.</t>
  </si>
  <si>
    <r>
      <t xml:space="preserve">X </t>
    </r>
    <r>
      <rPr>
        <vertAlign val="subscript"/>
        <sz val="11"/>
        <color indexed="8"/>
        <rFont val="Calibri"/>
        <family val="2"/>
      </rPr>
      <t>(Area Rainfall)</t>
    </r>
  </si>
  <si>
    <r>
      <t>X</t>
    </r>
    <r>
      <rPr>
        <vertAlign val="subscript"/>
        <sz val="11"/>
        <color indexed="8"/>
        <rFont val="Calibri"/>
        <family val="2"/>
      </rPr>
      <t>urut</t>
    </r>
  </si>
  <si>
    <t>Ʃ</t>
  </si>
  <si>
    <t>X rerata</t>
  </si>
  <si>
    <t>atau :</t>
  </si>
  <si>
    <t>Xi-Xr</t>
  </si>
  <si>
    <r>
      <t>(Xi-Xr)</t>
    </r>
    <r>
      <rPr>
        <vertAlign val="superscript"/>
        <sz val="11"/>
        <color indexed="8"/>
        <rFont val="Calibri"/>
        <family val="2"/>
      </rPr>
      <t>2</t>
    </r>
  </si>
  <si>
    <t>Rata-rata :</t>
  </si>
  <si>
    <r>
      <t>ẍ</t>
    </r>
    <r>
      <rPr>
        <sz val="9.8000000000000007"/>
        <color indexed="8"/>
        <rFont val="Calibri"/>
        <family val="2"/>
      </rPr>
      <t xml:space="preserve"> =</t>
    </r>
  </si>
  <si>
    <t>Standar deviasi :</t>
  </si>
  <si>
    <r>
      <t>S</t>
    </r>
    <r>
      <rPr>
        <vertAlign val="subscript"/>
        <sz val="11"/>
        <color indexed="8"/>
        <rFont val="Calibri"/>
        <family val="2"/>
      </rPr>
      <t>D</t>
    </r>
    <r>
      <rPr>
        <sz val="11"/>
        <color theme="1"/>
        <rFont val="Times New Roman"/>
        <family val="2"/>
        <charset val="1"/>
      </rPr>
      <t xml:space="preserve"> =</t>
    </r>
  </si>
  <si>
    <t>Koefisien Variasi :</t>
  </si>
  <si>
    <r>
      <t>C</t>
    </r>
    <r>
      <rPr>
        <vertAlign val="subscript"/>
        <sz val="11"/>
        <color indexed="8"/>
        <rFont val="Calibri"/>
        <family val="2"/>
      </rPr>
      <t>V</t>
    </r>
    <r>
      <rPr>
        <sz val="11"/>
        <color theme="1"/>
        <rFont val="Times New Roman"/>
        <family val="2"/>
        <charset val="1"/>
      </rPr>
      <t xml:space="preserve">  =</t>
    </r>
  </si>
  <si>
    <t>Koefisien Asimetri :</t>
  </si>
  <si>
    <r>
      <t>C</t>
    </r>
    <r>
      <rPr>
        <vertAlign val="subscript"/>
        <sz val="11"/>
        <color indexed="8"/>
        <rFont val="Calibri"/>
        <family val="2"/>
      </rPr>
      <t xml:space="preserve">s </t>
    </r>
    <r>
      <rPr>
        <sz val="11"/>
        <color theme="1"/>
        <rFont val="Times New Roman"/>
        <family val="2"/>
        <charset val="1"/>
      </rPr>
      <t xml:space="preserve"> =</t>
    </r>
  </si>
  <si>
    <t>Kurtosis :</t>
  </si>
  <si>
    <r>
      <t>C</t>
    </r>
    <r>
      <rPr>
        <vertAlign val="subscript"/>
        <sz val="11"/>
        <color indexed="8"/>
        <rFont val="Calibri"/>
        <family val="2"/>
      </rPr>
      <t>K</t>
    </r>
    <r>
      <rPr>
        <sz val="11"/>
        <color theme="1"/>
        <rFont val="Times New Roman"/>
        <family val="2"/>
        <charset val="1"/>
      </rPr>
      <t xml:space="preserve"> = </t>
    </r>
  </si>
  <si>
    <r>
      <t>Perbandingan C</t>
    </r>
    <r>
      <rPr>
        <vertAlign val="subscript"/>
        <sz val="11"/>
        <color indexed="8"/>
        <rFont val="Calibri"/>
        <family val="2"/>
      </rPr>
      <t>s</t>
    </r>
    <r>
      <rPr>
        <sz val="11"/>
        <color theme="1"/>
        <rFont val="Times New Roman"/>
        <family val="2"/>
        <charset val="1"/>
      </rPr>
      <t>/C</t>
    </r>
    <r>
      <rPr>
        <vertAlign val="subscript"/>
        <sz val="11"/>
        <color indexed="8"/>
        <rFont val="Calibri"/>
        <family val="2"/>
      </rPr>
      <t>V</t>
    </r>
    <r>
      <rPr>
        <sz val="11"/>
        <color theme="1"/>
        <rFont val="Times New Roman"/>
        <family val="2"/>
        <charset val="1"/>
      </rPr>
      <t xml:space="preserve"> :</t>
    </r>
  </si>
  <si>
    <r>
      <t>Cs/C</t>
    </r>
    <r>
      <rPr>
        <vertAlign val="subscript"/>
        <sz val="11"/>
        <color indexed="8"/>
        <rFont val="Calibri"/>
        <family val="2"/>
      </rPr>
      <t>V</t>
    </r>
    <r>
      <rPr>
        <sz val="11"/>
        <color indexed="8"/>
        <rFont val="Calibri"/>
        <family val="2"/>
      </rPr>
      <t xml:space="preserve"> =</t>
    </r>
  </si>
  <si>
    <t>Distribusi</t>
  </si>
  <si>
    <t>Syarat</t>
  </si>
  <si>
    <t>Hasil Hitungan</t>
  </si>
  <si>
    <t>Keterangan</t>
  </si>
  <si>
    <t>Normal</t>
  </si>
  <si>
    <t>tidak sesuai</t>
  </si>
  <si>
    <t>Log Normal</t>
  </si>
  <si>
    <t>Gumbel Tipe I</t>
  </si>
  <si>
    <t>Log Pearson Tipe III</t>
  </si>
  <si>
    <t xml:space="preserve">Selain syarat di atas; </t>
  </si>
  <si>
    <t>sesuai</t>
  </si>
  <si>
    <t>No. Urut</t>
  </si>
  <si>
    <t>X</t>
  </si>
  <si>
    <t>Log X</t>
  </si>
  <si>
    <t>Probabilitas (%)</t>
  </si>
  <si>
    <t>(m)</t>
  </si>
  <si>
    <t>∑</t>
  </si>
  <si>
    <t>Average:</t>
  </si>
  <si>
    <r>
      <rPr>
        <sz val="11"/>
        <color indexed="8"/>
        <rFont val="Calibri"/>
        <family val="2"/>
      </rPr>
      <t>ꜚ</t>
    </r>
    <r>
      <rPr>
        <sz val="11"/>
        <color theme="1"/>
        <rFont val="Times New Roman"/>
        <family val="2"/>
        <charset val="1"/>
      </rPr>
      <t>log ẍ =</t>
    </r>
  </si>
  <si>
    <r>
      <t>(log x)</t>
    </r>
    <r>
      <rPr>
        <vertAlign val="subscript"/>
        <sz val="11"/>
        <color indexed="8"/>
        <rFont val="Calibri"/>
        <family val="2"/>
      </rPr>
      <t>Rerata</t>
    </r>
    <r>
      <rPr>
        <sz val="11"/>
        <color theme="1"/>
        <rFont val="Times New Roman"/>
        <family val="2"/>
        <charset val="1"/>
      </rPr>
      <t xml:space="preserve"> :</t>
    </r>
  </si>
  <si>
    <t>(∑  log x)/n  =</t>
  </si>
  <si>
    <t>Analisa USLE</t>
  </si>
  <si>
    <r>
      <t>km</t>
    </r>
    <r>
      <rPr>
        <vertAlign val="superscript"/>
        <sz val="11"/>
        <color theme="1"/>
        <rFont val="Times New Roman"/>
        <family val="1"/>
      </rPr>
      <t>2</t>
    </r>
  </si>
  <si>
    <t>Kandungan pasir</t>
  </si>
  <si>
    <t>Kandungan tanah</t>
  </si>
  <si>
    <t>Kandungan debu + tanah halus</t>
  </si>
  <si>
    <t>Kandungan bahan organik</t>
  </si>
  <si>
    <t>DAS Waduk Cengklik</t>
  </si>
  <si>
    <t>=</t>
  </si>
  <si>
    <t>%</t>
  </si>
  <si>
    <t>mm</t>
  </si>
  <si>
    <t>Tanah Max diameter</t>
  </si>
  <si>
    <t>Kecepatan permeabilitas</t>
  </si>
  <si>
    <t>&lt;0,7</t>
  </si>
  <si>
    <t>E = R x K x LS x CP</t>
  </si>
  <si>
    <t>E = Perkiraan besarnya erosi</t>
  </si>
  <si>
    <t>R = Faktor erosivitas hujan</t>
  </si>
  <si>
    <t>L.S = Faktor panjang - kemiringan lereng</t>
  </si>
  <si>
    <t>C.P = Faktor tanaman penutup lahan - faktor tindakan konservasi</t>
  </si>
  <si>
    <t>Mencari R</t>
  </si>
  <si>
    <t>Mencari K</t>
  </si>
  <si>
    <t>dari perhitungan didapatkan R</t>
  </si>
  <si>
    <t>diplot digrafik didapatkan K</t>
  </si>
  <si>
    <t>Mencari LS</t>
  </si>
  <si>
    <t>Kemiringan</t>
  </si>
  <si>
    <t>Nilai LS</t>
  </si>
  <si>
    <t>0% - 8%</t>
  </si>
  <si>
    <t>8% - 15%</t>
  </si>
  <si>
    <t>15% - 25%</t>
  </si>
  <si>
    <t>25% - 45%</t>
  </si>
  <si>
    <t>&gt;45%</t>
  </si>
  <si>
    <t>Dari data diatas didapatkan LS</t>
  </si>
  <si>
    <t>Mencari CP</t>
  </si>
  <si>
    <t>Sumber : BBWS Bengawan Solo</t>
  </si>
  <si>
    <t>Sumber : Asdak, 1995</t>
  </si>
  <si>
    <t>Tata Guna Lahan</t>
  </si>
  <si>
    <t>Nilai</t>
  </si>
  <si>
    <r>
      <t>(</t>
    </r>
    <r>
      <rPr>
        <b/>
        <i/>
        <sz val="10"/>
        <color theme="1"/>
        <rFont val="Arial"/>
        <family val="2"/>
      </rPr>
      <t>CP)</t>
    </r>
  </si>
  <si>
    <t>Savana dan Praire</t>
  </si>
  <si>
    <t>Rawa</t>
  </si>
  <si>
    <t>Semak/Belukar</t>
  </si>
  <si>
    <t>Pertanian Lahan Kering Campuran</t>
  </si>
  <si>
    <t>Pertanian Lahan Kering</t>
  </si>
  <si>
    <t>Kebun - Pekarangan</t>
  </si>
  <si>
    <t>Kebun Campuran Kerapatan Sedang</t>
  </si>
  <si>
    <t>Hutan Produksi Tebang Pilih</t>
  </si>
  <si>
    <t>Hutan Tidak Terganggu</t>
  </si>
  <si>
    <t>Hutan Alam Seresah Bayak</t>
  </si>
  <si>
    <t>Hutan Alam Seresah Sedikit</t>
  </si>
  <si>
    <t>Sawah Irigasi</t>
  </si>
  <si>
    <t>Tegalan Tidak Spesifik</t>
  </si>
  <si>
    <t>Tanah Terbuka Untuk Tanaman</t>
  </si>
  <si>
    <t>Tubuh Air</t>
  </si>
  <si>
    <t>0.001</t>
  </si>
  <si>
    <t>Sumber: Asdak, 2007:474</t>
  </si>
  <si>
    <t>Sumber : BBWS Beengawan Solo</t>
  </si>
  <si>
    <t>dari data diatas didapat nilai CP</t>
  </si>
  <si>
    <t>Sawah/pertanian lahan kering campuran</t>
  </si>
  <si>
    <t xml:space="preserve">Semak belukar </t>
  </si>
  <si>
    <t>Tubuh air</t>
  </si>
  <si>
    <t>LS</t>
  </si>
  <si>
    <t xml:space="preserve">Jan </t>
  </si>
  <si>
    <t>Nov</t>
  </si>
  <si>
    <t>Tahun 2019</t>
  </si>
  <si>
    <t>-</t>
  </si>
  <si>
    <t>Erosivitas Hujan</t>
  </si>
  <si>
    <t>K</t>
  </si>
  <si>
    <t>CP</t>
  </si>
  <si>
    <t>Erosi</t>
  </si>
  <si>
    <t>Sedimentasi</t>
  </si>
  <si>
    <t>SDR</t>
  </si>
  <si>
    <t>DAS</t>
  </si>
  <si>
    <r>
      <t>SDR = -0,2 + 0,385(A)</t>
    </r>
    <r>
      <rPr>
        <vertAlign val="superscript"/>
        <sz val="11"/>
        <color theme="1"/>
        <rFont val="Times New Roman"/>
        <family val="1"/>
      </rPr>
      <t>-0,2</t>
    </r>
  </si>
  <si>
    <t>SY = SDR x E</t>
  </si>
  <si>
    <t>(ton/ha/tahun)</t>
  </si>
  <si>
    <t>Analisa Laju Erosi</t>
  </si>
  <si>
    <t>Tabel Nilai-nilai G (Koef. Pearson, CD. Soemarto, 1986)</t>
  </si>
  <si>
    <t>T (tahun)</t>
  </si>
  <si>
    <t>G</t>
  </si>
  <si>
    <t>Tabel 1.  Hasil Hujan Rencana Metode Log Pearson Type III</t>
  </si>
  <si>
    <t>P (%)</t>
  </si>
  <si>
    <t>Cs = 1,18</t>
  </si>
  <si>
    <t>CK = 6,64</t>
  </si>
  <si>
    <t>Cs  B = 0,2</t>
  </si>
  <si>
    <t>Persamaan Metode Rasional:</t>
  </si>
  <si>
    <t>Q = 0.278 C.I.A</t>
  </si>
  <si>
    <t>C = Koefisien Pengaliran</t>
  </si>
  <si>
    <t>Luas  Tangkapan Hujan (Catchment Area) :</t>
  </si>
  <si>
    <t>Pers Modifikasi Kirpich - Schulz (1976) :</t>
  </si>
  <si>
    <t>L = panjang saluran (feet)</t>
  </si>
  <si>
    <t>S = kemiringan dasar saluran (m/m)</t>
  </si>
  <si>
    <t>tc = waktu konsentrasi dalam satuan Jam</t>
  </si>
  <si>
    <t>A :</t>
  </si>
  <si>
    <t>L  :</t>
  </si>
  <si>
    <t>m</t>
  </si>
  <si>
    <t>km</t>
  </si>
  <si>
    <t>feet</t>
  </si>
  <si>
    <t>L = Panjang Saluran (km)</t>
  </si>
  <si>
    <t>S  :</t>
  </si>
  <si>
    <t>(= kemiringan dasar saluran rencana)</t>
  </si>
  <si>
    <t>S = Sloof</t>
  </si>
  <si>
    <t>C  :</t>
  </si>
  <si>
    <t>Catchment Area</t>
  </si>
  <si>
    <t xml:space="preserve">ꜚlog ẍ </t>
  </si>
  <si>
    <t>SD</t>
  </si>
  <si>
    <t>G.SD</t>
  </si>
  <si>
    <t>log Rti</t>
  </si>
  <si>
    <t>Rti  (mm)</t>
  </si>
  <si>
    <t>Data Drain</t>
  </si>
  <si>
    <t>T (kala ulang)</t>
  </si>
  <si>
    <t>Hitungan :</t>
  </si>
  <si>
    <t>jam</t>
  </si>
  <si>
    <t>Uji Distribusi Smirnov - Kolmogorov :</t>
  </si>
  <si>
    <t>n  :</t>
  </si>
  <si>
    <t>α  :</t>
  </si>
  <si>
    <r>
      <t>Δ</t>
    </r>
    <r>
      <rPr>
        <vertAlign val="subscript"/>
        <sz val="10"/>
        <rFont val="Arial"/>
        <family val="2"/>
      </rPr>
      <t>kritik</t>
    </r>
    <r>
      <rPr>
        <sz val="11"/>
        <color theme="1"/>
        <rFont val="Times New Roman"/>
        <family val="2"/>
        <charset val="1"/>
      </rPr>
      <t xml:space="preserve"> :</t>
    </r>
  </si>
  <si>
    <r>
      <t xml:space="preserve"> (dari Tabel Δ</t>
    </r>
    <r>
      <rPr>
        <vertAlign val="subscript"/>
        <sz val="10"/>
        <rFont val="Arial"/>
        <family val="2"/>
      </rPr>
      <t>kritik</t>
    </r>
    <r>
      <rPr>
        <sz val="11"/>
        <color theme="1"/>
        <rFont val="Times New Roman"/>
        <family val="2"/>
        <charset val="1"/>
      </rPr>
      <t xml:space="preserve"> Smirnov-Kolmogorov)</t>
    </r>
  </si>
  <si>
    <t>Xr  :</t>
  </si>
  <si>
    <t>Sd :</t>
  </si>
  <si>
    <t>P(x)=m/(n+1)</t>
  </si>
  <si>
    <t>P(x&lt;)</t>
  </si>
  <si>
    <t>F(t)=(X-Xr)/Sd</t>
  </si>
  <si>
    <t>Abs F(t)</t>
  </si>
  <si>
    <t>ξ</t>
  </si>
  <si>
    <t>P'(x)</t>
  </si>
  <si>
    <t>P'(X&lt;)</t>
  </si>
  <si>
    <t>Δ</t>
  </si>
  <si>
    <t>Sum :</t>
  </si>
  <si>
    <t>Δmax :</t>
  </si>
  <si>
    <t>Avarage :</t>
  </si>
  <si>
    <t>A. Uji Chi-Kuadrat</t>
  </si>
  <si>
    <t>1. Derajat Kebebasan ,  Dk = k - (P+1)  :</t>
  </si>
  <si>
    <r>
      <t>P= Faktor macam uji, untuk Chi-Kuadrat = 2   ----&gt;      D</t>
    </r>
    <r>
      <rPr>
        <vertAlign val="subscript"/>
        <sz val="11"/>
        <color indexed="8"/>
        <rFont val="Calibri"/>
        <family val="2"/>
      </rPr>
      <t>k</t>
    </r>
    <r>
      <rPr>
        <sz val="11"/>
        <color theme="1"/>
        <rFont val="Times New Roman"/>
        <family val="2"/>
        <charset val="1"/>
      </rPr>
      <t xml:space="preserve"> = 5 - (2+1) = 2</t>
    </r>
  </si>
  <si>
    <r>
      <t>2. Koef Chi-Kuadrat kritis (X</t>
    </r>
    <r>
      <rPr>
        <vertAlign val="subscript"/>
        <sz val="11"/>
        <color indexed="8"/>
        <rFont val="Calibri"/>
        <family val="2"/>
      </rPr>
      <t>kr</t>
    </r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Times New Roman"/>
        <family val="2"/>
        <charset val="1"/>
      </rPr>
      <t>) :</t>
    </r>
  </si>
  <si>
    <r>
      <t>α = 5 % , maka dari tabel Chi-Kuadrat  untuk D</t>
    </r>
    <r>
      <rPr>
        <vertAlign val="subscript"/>
        <sz val="11"/>
        <color indexed="8"/>
        <rFont val="Calibri"/>
        <family val="2"/>
      </rPr>
      <t xml:space="preserve">k </t>
    </r>
    <r>
      <rPr>
        <sz val="11"/>
        <color indexed="8"/>
        <rFont val="Calibri"/>
        <family val="2"/>
      </rPr>
      <t>= 2 dan α = 0.05 diperoleh :</t>
    </r>
  </si>
  <si>
    <t xml:space="preserve"> </t>
  </si>
  <si>
    <r>
      <t>Selanjutnya dihitung X</t>
    </r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Times New Roman"/>
        <family val="2"/>
        <charset val="1"/>
      </rPr>
      <t xml:space="preserve"> :</t>
    </r>
  </si>
  <si>
    <t>Tabel Hitungan uji Chi-Kuadrat</t>
  </si>
  <si>
    <t>Prob.</t>
  </si>
  <si>
    <r>
      <t>E</t>
    </r>
    <r>
      <rPr>
        <vertAlign val="subscript"/>
        <sz val="11"/>
        <color indexed="8"/>
        <rFont val="Calibri"/>
        <family val="2"/>
      </rPr>
      <t>f</t>
    </r>
  </si>
  <si>
    <r>
      <t>O</t>
    </r>
    <r>
      <rPr>
        <vertAlign val="subscript"/>
        <sz val="11"/>
        <color indexed="8"/>
        <rFont val="Calibri"/>
        <family val="2"/>
      </rPr>
      <t>f</t>
    </r>
  </si>
  <si>
    <r>
      <t>E</t>
    </r>
    <r>
      <rPr>
        <vertAlign val="subscript"/>
        <sz val="11"/>
        <color indexed="8"/>
        <rFont val="Calibri"/>
        <family val="2"/>
      </rPr>
      <t>f</t>
    </r>
    <r>
      <rPr>
        <sz val="11"/>
        <color theme="1"/>
        <rFont val="Times New Roman"/>
        <family val="2"/>
        <charset val="1"/>
      </rPr>
      <t xml:space="preserve"> - O</t>
    </r>
    <r>
      <rPr>
        <vertAlign val="subscript"/>
        <sz val="11"/>
        <color indexed="8"/>
        <rFont val="Calibri"/>
        <family val="2"/>
      </rPr>
      <t>f</t>
    </r>
  </si>
  <si>
    <r>
      <t>(E</t>
    </r>
    <r>
      <rPr>
        <vertAlign val="subscript"/>
        <sz val="11"/>
        <color indexed="8"/>
        <rFont val="Calibri"/>
        <family val="2"/>
      </rPr>
      <t>f</t>
    </r>
    <r>
      <rPr>
        <sz val="11"/>
        <color theme="1"/>
        <rFont val="Times New Roman"/>
        <family val="2"/>
        <charset val="1"/>
      </rPr>
      <t xml:space="preserve"> - O</t>
    </r>
    <r>
      <rPr>
        <vertAlign val="subscript"/>
        <sz val="11"/>
        <color indexed="8"/>
        <rFont val="Calibri"/>
        <family val="2"/>
      </rPr>
      <t>f)</t>
    </r>
    <r>
      <rPr>
        <vertAlign val="superscript"/>
        <sz val="11"/>
        <color indexed="8"/>
        <rFont val="Calibri"/>
        <family val="2"/>
      </rPr>
      <t>2</t>
    </r>
  </si>
  <si>
    <r>
      <t>(E</t>
    </r>
    <r>
      <rPr>
        <vertAlign val="subscript"/>
        <sz val="11"/>
        <color indexed="8"/>
        <rFont val="Calibri"/>
        <family val="2"/>
      </rPr>
      <t>f</t>
    </r>
    <r>
      <rPr>
        <sz val="11"/>
        <color theme="1"/>
        <rFont val="Times New Roman"/>
        <family val="2"/>
        <charset val="1"/>
      </rPr>
      <t xml:space="preserve"> - O</t>
    </r>
    <r>
      <rPr>
        <vertAlign val="subscript"/>
        <sz val="11"/>
        <color indexed="8"/>
        <rFont val="Calibri"/>
        <family val="2"/>
      </rPr>
      <t>f)</t>
    </r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Times New Roman"/>
        <family val="2"/>
        <charset val="1"/>
      </rPr>
      <t>/E</t>
    </r>
    <r>
      <rPr>
        <vertAlign val="subscript"/>
        <sz val="11"/>
        <color indexed="8"/>
        <rFont val="Calibri"/>
        <family val="2"/>
      </rPr>
      <t>f</t>
    </r>
  </si>
  <si>
    <r>
      <t>X</t>
    </r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Times New Roman"/>
        <family val="2"/>
        <charset val="1"/>
      </rPr>
      <t xml:space="preserve"> =</t>
    </r>
  </si>
  <si>
    <r>
      <t>maka,                X</t>
    </r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Times New Roman"/>
        <family val="2"/>
        <charset val="1"/>
      </rPr>
      <t xml:space="preserve">  &lt;  X</t>
    </r>
    <r>
      <rPr>
        <vertAlign val="subscript"/>
        <sz val="11"/>
        <color indexed="8"/>
        <rFont val="Calibri"/>
        <family val="2"/>
      </rPr>
      <t>kr</t>
    </r>
    <r>
      <rPr>
        <vertAlign val="superscript"/>
        <sz val="11"/>
        <color indexed="8"/>
        <rFont val="Calibri"/>
        <family val="2"/>
      </rPr>
      <t xml:space="preserve">2     </t>
    </r>
  </si>
  <si>
    <t>Jadi Distribusi Log Pearson tipe III dapat diterima</t>
  </si>
  <si>
    <t>Jumlah data hujan = 10, dikelompokkan 5 kelas :</t>
  </si>
  <si>
    <t>Jumlah Sedimen</t>
  </si>
  <si>
    <t>Y = SY x Ws</t>
  </si>
  <si>
    <t>Ws = Luas tangkapan air</t>
  </si>
  <si>
    <t>1. Mencari SDR</t>
  </si>
  <si>
    <t>ha</t>
  </si>
  <si>
    <t>3. Menghitung Jumlah Sedimen</t>
  </si>
  <si>
    <t>2. Menghitung Laju Sedimen Potensial</t>
  </si>
  <si>
    <t>SY</t>
  </si>
  <si>
    <t>Ws</t>
  </si>
  <si>
    <t>(ton/tahun)</t>
  </si>
  <si>
    <t>Mencari Vq</t>
  </si>
  <si>
    <t>Mencari Qp</t>
  </si>
  <si>
    <t>Vq = D x A x CP</t>
  </si>
  <si>
    <t>D   = Tinggi Hujan (m)</t>
  </si>
  <si>
    <t>CP = Faktor Penutup dan Pengelolaan Lahan</t>
  </si>
  <si>
    <t>A</t>
  </si>
  <si>
    <t>Vq</t>
  </si>
  <si>
    <t>Mencari Limpasa Permukaan</t>
  </si>
  <si>
    <t>a</t>
  </si>
  <si>
    <t>Qp</t>
  </si>
  <si>
    <t>E = Y/SDR</t>
  </si>
  <si>
    <t>Y = R x K x LS x CP</t>
  </si>
  <si>
    <t xml:space="preserve">Y = Sedimentasi </t>
  </si>
  <si>
    <t>R = Limpasan Permukaan</t>
  </si>
  <si>
    <t>Laju Sedimentasi</t>
  </si>
  <si>
    <t>(ha)</t>
  </si>
  <si>
    <t xml:space="preserve">Rata - rata laju sedimentasi </t>
  </si>
  <si>
    <t>Rata - rata laju sedimentasi</t>
  </si>
  <si>
    <t xml:space="preserve">Rata - rata sedimentasi </t>
  </si>
  <si>
    <t xml:space="preserve">Rata rata sedimen </t>
  </si>
  <si>
    <t>Perbandingan metode USLE dan MUSLE</t>
  </si>
  <si>
    <t>Metode</t>
  </si>
  <si>
    <t>USLE</t>
  </si>
  <si>
    <t>MUSLE</t>
  </si>
  <si>
    <t>Perbandingan</t>
  </si>
  <si>
    <t>Bulan (mm)</t>
  </si>
  <si>
    <r>
      <t>X</t>
    </r>
    <r>
      <rPr>
        <vertAlign val="subscript"/>
        <sz val="11"/>
        <color indexed="8"/>
        <rFont val="Calibri"/>
        <family val="2"/>
      </rPr>
      <t>kr</t>
    </r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Times New Roman"/>
        <family val="2"/>
        <charset val="1"/>
      </rPr>
      <t xml:space="preserve">  = 5,991</t>
    </r>
  </si>
  <si>
    <r>
      <t>Q = Debit Aliran (m</t>
    </r>
    <r>
      <rPr>
        <vertAlign val="superscript"/>
        <sz val="12"/>
        <color indexed="8"/>
        <rFont val="Times New Roman"/>
        <family val="1"/>
      </rPr>
      <t>3</t>
    </r>
    <r>
      <rPr>
        <sz val="12"/>
        <color indexed="8"/>
        <rFont val="Times New Roman"/>
        <family val="1"/>
      </rPr>
      <t>/dt)</t>
    </r>
  </si>
  <si>
    <r>
      <t>I = I</t>
    </r>
    <r>
      <rPr>
        <vertAlign val="subscript"/>
        <sz val="12"/>
        <color indexed="8"/>
        <rFont val="Times New Roman"/>
        <family val="1"/>
      </rPr>
      <t>R</t>
    </r>
    <r>
      <rPr>
        <sz val="12"/>
        <color indexed="8"/>
        <rFont val="Times New Roman"/>
        <family val="1"/>
      </rPr>
      <t xml:space="preserve">  = Intensitas Hujan kala ulang</t>
    </r>
  </si>
  <si>
    <r>
      <t>A = Catchment Area (km</t>
    </r>
    <r>
      <rPr>
        <vertAlign val="superscript"/>
        <sz val="12"/>
        <color indexed="8"/>
        <rFont val="Times New Roman"/>
        <family val="1"/>
      </rPr>
      <t>2</t>
    </r>
    <r>
      <rPr>
        <sz val="12"/>
        <color indexed="8"/>
        <rFont val="Times New Roman"/>
        <family val="1"/>
      </rPr>
      <t>)</t>
    </r>
  </si>
  <si>
    <r>
      <t>km</t>
    </r>
    <r>
      <rPr>
        <vertAlign val="superscript"/>
        <sz val="12"/>
        <color theme="1"/>
        <rFont val="Times New Roman"/>
        <family val="1"/>
      </rPr>
      <t>2</t>
    </r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</si>
  <si>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</si>
  <si>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r>
      <t>I</t>
    </r>
    <r>
      <rPr>
        <vertAlign val="subscript"/>
        <sz val="12"/>
        <color indexed="8"/>
        <rFont val="Times New Roman"/>
        <family val="1"/>
      </rPr>
      <t>R</t>
    </r>
    <r>
      <rPr>
        <sz val="12"/>
        <color theme="1"/>
        <rFont val="Times New Roman"/>
        <family val="1"/>
      </rPr>
      <t xml:space="preserve">  = R</t>
    </r>
    <r>
      <rPr>
        <vertAlign val="subscript"/>
        <sz val="12"/>
        <color indexed="8"/>
        <rFont val="Times New Roman"/>
        <family val="1"/>
      </rPr>
      <t>T</t>
    </r>
    <r>
      <rPr>
        <sz val="12"/>
        <color theme="1"/>
        <rFont val="Times New Roman"/>
        <family val="1"/>
      </rPr>
      <t>/24 (24/t</t>
    </r>
    <r>
      <rPr>
        <vertAlign val="subscript"/>
        <sz val="12"/>
        <color indexed="8"/>
        <rFont val="Times New Roman"/>
        <family val="1"/>
      </rPr>
      <t>c</t>
    </r>
    <r>
      <rPr>
        <sz val="12"/>
        <color theme="1"/>
        <rFont val="Times New Roman"/>
        <family val="1"/>
      </rPr>
      <t>)</t>
    </r>
    <r>
      <rPr>
        <vertAlign val="superscript"/>
        <sz val="12"/>
        <color indexed="8"/>
        <rFont val="Times New Roman"/>
        <family val="1"/>
      </rPr>
      <t>2/3</t>
    </r>
  </si>
  <si>
    <r>
      <t>R</t>
    </r>
    <r>
      <rPr>
        <vertAlign val="subscript"/>
        <sz val="12"/>
        <color indexed="8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 = Hujan rencana kala ulang t    (mm)</t>
    </r>
  </si>
  <si>
    <r>
      <t>I</t>
    </r>
    <r>
      <rPr>
        <vertAlign val="subscript"/>
        <sz val="12"/>
        <color indexed="8"/>
        <rFont val="Times New Roman"/>
        <family val="1"/>
      </rPr>
      <t>R</t>
    </r>
    <r>
      <rPr>
        <sz val="12"/>
        <color theme="1"/>
        <rFont val="Times New Roman"/>
        <family val="1"/>
      </rPr>
      <t xml:space="preserve">  = Intensitas Hujan kala ulang (mm/jam)</t>
    </r>
  </si>
  <si>
    <r>
      <t>t</t>
    </r>
    <r>
      <rPr>
        <vertAlign val="subscript"/>
        <sz val="12"/>
        <color indexed="8"/>
        <rFont val="Times New Roman"/>
        <family val="1"/>
      </rPr>
      <t>c</t>
    </r>
    <r>
      <rPr>
        <sz val="12"/>
        <color theme="1"/>
        <rFont val="Times New Roman"/>
        <family val="1"/>
      </rPr>
      <t xml:space="preserve">  = waktu konsentrasi  (Jam)</t>
    </r>
  </si>
  <si>
    <r>
      <t>tc  = 0.00013 L</t>
    </r>
    <r>
      <rPr>
        <vertAlign val="superscript"/>
        <sz val="12"/>
        <color indexed="8"/>
        <rFont val="Times New Roman"/>
        <family val="1"/>
      </rPr>
      <t>0.77</t>
    </r>
    <r>
      <rPr>
        <sz val="12"/>
        <color indexed="8"/>
        <rFont val="Times New Roman"/>
        <family val="1"/>
      </rPr>
      <t>/S</t>
    </r>
    <r>
      <rPr>
        <vertAlign val="superscript"/>
        <sz val="12"/>
        <color indexed="8"/>
        <rFont val="Times New Roman"/>
        <family val="1"/>
      </rPr>
      <t>0.385</t>
    </r>
  </si>
  <si>
    <r>
      <t>m</t>
    </r>
    <r>
      <rPr>
        <vertAlign val="superscript"/>
        <sz val="12"/>
        <color indexed="8"/>
        <rFont val="Times New Roman"/>
        <family val="1"/>
      </rPr>
      <t>2</t>
    </r>
  </si>
  <si>
    <r>
      <t>km</t>
    </r>
    <r>
      <rPr>
        <vertAlign val="superscript"/>
        <sz val="12"/>
        <color indexed="8"/>
        <rFont val="Times New Roman"/>
        <family val="1"/>
      </rPr>
      <t>2</t>
    </r>
  </si>
  <si>
    <r>
      <t>A = Luas Das (km</t>
    </r>
    <r>
      <rPr>
        <vertAlign val="superscript"/>
        <sz val="12"/>
        <color indexed="8"/>
        <rFont val="Times New Roman"/>
        <family val="1"/>
      </rPr>
      <t>2</t>
    </r>
    <r>
      <rPr>
        <sz val="12"/>
        <color indexed="8"/>
        <rFont val="Times New Roman"/>
        <family val="1"/>
      </rPr>
      <t>)</t>
    </r>
  </si>
  <si>
    <r>
      <t>A   = Luas DAS (m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</si>
  <si>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R = a x (Vq x Qp)</t>
    </r>
    <r>
      <rPr>
        <vertAlign val="superscript"/>
        <sz val="12"/>
        <color theme="1"/>
        <rFont val="Times New Roman"/>
        <family val="1"/>
      </rPr>
      <t>b</t>
    </r>
  </si>
  <si>
    <r>
      <t>t</t>
    </r>
    <r>
      <rPr>
        <vertAlign val="subscript"/>
        <sz val="12"/>
        <color indexed="8"/>
        <rFont val="Times New Roman"/>
        <family val="1"/>
      </rPr>
      <t>c</t>
    </r>
    <r>
      <rPr>
        <sz val="12"/>
        <color theme="1"/>
        <rFont val="Times New Roman"/>
        <family val="1"/>
      </rPr>
      <t xml:space="preserve">  :</t>
    </r>
  </si>
  <si>
    <r>
      <t xml:space="preserve">X </t>
    </r>
    <r>
      <rPr>
        <vertAlign val="subscript"/>
        <sz val="12"/>
        <rFont val="Times New Roman"/>
        <family val="1"/>
      </rPr>
      <t>(Area Rainfall)</t>
    </r>
  </si>
  <si>
    <r>
      <t>X</t>
    </r>
    <r>
      <rPr>
        <vertAlign val="subscript"/>
        <sz val="12"/>
        <rFont val="Times New Roman"/>
        <family val="1"/>
      </rPr>
      <t>urut</t>
    </r>
  </si>
  <si>
    <r>
      <t>X</t>
    </r>
    <r>
      <rPr>
        <vertAlign val="superscript"/>
        <sz val="12"/>
        <rFont val="Times New Roman"/>
        <family val="1"/>
      </rPr>
      <t>2</t>
    </r>
  </si>
  <si>
    <r>
      <t>(X - ẍ)</t>
    </r>
    <r>
      <rPr>
        <vertAlign val="superscript"/>
        <sz val="12"/>
        <rFont val="Times New Roman"/>
        <family val="1"/>
      </rPr>
      <t>3</t>
    </r>
  </si>
  <si>
    <r>
      <t>(X - ẍ)</t>
    </r>
    <r>
      <rPr>
        <vertAlign val="superscript"/>
        <sz val="12"/>
        <rFont val="Times New Roman"/>
        <family val="1"/>
      </rPr>
      <t>4</t>
    </r>
  </si>
  <si>
    <r>
      <t>C</t>
    </r>
    <r>
      <rPr>
        <vertAlign val="subscript"/>
        <sz val="12"/>
        <color indexed="8"/>
        <rFont val="Times New Roman"/>
        <family val="1"/>
      </rPr>
      <t>s</t>
    </r>
    <r>
      <rPr>
        <sz val="12"/>
        <color theme="1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≈ 0     </t>
    </r>
  </si>
  <si>
    <r>
      <t>C</t>
    </r>
    <r>
      <rPr>
        <vertAlign val="subscript"/>
        <sz val="12"/>
        <color indexed="8"/>
        <rFont val="Times New Roman"/>
        <family val="1"/>
      </rPr>
      <t xml:space="preserve">s </t>
    </r>
    <r>
      <rPr>
        <sz val="12"/>
        <color theme="1"/>
        <rFont val="Times New Roman"/>
        <family val="1"/>
      </rPr>
      <t>=</t>
    </r>
    <r>
      <rPr>
        <sz val="12"/>
        <color indexed="8"/>
        <rFont val="Times New Roman"/>
        <family val="1"/>
      </rPr>
      <t xml:space="preserve"> 1,18</t>
    </r>
  </si>
  <si>
    <r>
      <t>C</t>
    </r>
    <r>
      <rPr>
        <vertAlign val="subscript"/>
        <sz val="12"/>
        <color indexed="8"/>
        <rFont val="Times New Roman"/>
        <family val="1"/>
      </rPr>
      <t>K</t>
    </r>
    <r>
      <rPr>
        <sz val="12"/>
        <color theme="1"/>
        <rFont val="Times New Roman"/>
        <family val="1"/>
      </rPr>
      <t xml:space="preserve"> ≈ 3</t>
    </r>
  </si>
  <si>
    <r>
      <t>C</t>
    </r>
    <r>
      <rPr>
        <vertAlign val="subscript"/>
        <sz val="12"/>
        <color indexed="8"/>
        <rFont val="Times New Roman"/>
        <family val="1"/>
      </rPr>
      <t>K</t>
    </r>
    <r>
      <rPr>
        <sz val="12"/>
        <color theme="1"/>
        <rFont val="Times New Roman"/>
        <family val="1"/>
      </rPr>
      <t xml:space="preserve"> = 6,64</t>
    </r>
  </si>
  <si>
    <r>
      <t>C</t>
    </r>
    <r>
      <rPr>
        <vertAlign val="subscript"/>
        <sz val="12"/>
        <color indexed="8"/>
        <rFont val="Times New Roman"/>
        <family val="1"/>
      </rPr>
      <t>s</t>
    </r>
    <r>
      <rPr>
        <sz val="12"/>
        <color theme="1"/>
        <rFont val="Times New Roman"/>
        <family val="1"/>
      </rPr>
      <t>/C</t>
    </r>
    <r>
      <rPr>
        <vertAlign val="subscript"/>
        <sz val="12"/>
        <color indexed="8"/>
        <rFont val="Times New Roman"/>
        <family val="1"/>
      </rPr>
      <t xml:space="preserve">V  </t>
    </r>
    <r>
      <rPr>
        <sz val="12"/>
        <color indexed="8"/>
        <rFont val="Times New Roman"/>
        <family val="1"/>
      </rPr>
      <t xml:space="preserve">≈ 3   </t>
    </r>
  </si>
  <si>
    <r>
      <t>C</t>
    </r>
    <r>
      <rPr>
        <vertAlign val="subscript"/>
        <sz val="12"/>
        <color indexed="8"/>
        <rFont val="Times New Roman"/>
        <family val="1"/>
      </rPr>
      <t>s</t>
    </r>
    <r>
      <rPr>
        <sz val="12"/>
        <color theme="1"/>
        <rFont val="Times New Roman"/>
        <family val="1"/>
      </rPr>
      <t>/C</t>
    </r>
    <r>
      <rPr>
        <vertAlign val="subscript"/>
        <sz val="12"/>
        <color indexed="8"/>
        <rFont val="Times New Roman"/>
        <family val="1"/>
      </rPr>
      <t>V  =</t>
    </r>
    <r>
      <rPr>
        <sz val="12"/>
        <color indexed="8"/>
        <rFont val="Times New Roman"/>
        <family val="1"/>
      </rPr>
      <t xml:space="preserve"> 4,23</t>
    </r>
  </si>
  <si>
    <r>
      <t>C</t>
    </r>
    <r>
      <rPr>
        <vertAlign val="subscript"/>
        <sz val="12"/>
        <color indexed="8"/>
        <rFont val="Times New Roman"/>
        <family val="1"/>
      </rPr>
      <t>K</t>
    </r>
    <r>
      <rPr>
        <sz val="12"/>
        <color theme="1"/>
        <rFont val="Times New Roman"/>
        <family val="1"/>
      </rPr>
      <t xml:space="preserve"> &gt; 3</t>
    </r>
  </si>
  <si>
    <r>
      <t>C</t>
    </r>
    <r>
      <rPr>
        <vertAlign val="subscript"/>
        <sz val="12"/>
        <color indexed="8"/>
        <rFont val="Times New Roman"/>
        <family val="1"/>
      </rPr>
      <t xml:space="preserve">K </t>
    </r>
    <r>
      <rPr>
        <sz val="12"/>
        <color theme="1"/>
        <rFont val="Times New Roman"/>
        <family val="1"/>
      </rPr>
      <t>= 6,64</t>
    </r>
  </si>
  <si>
    <r>
      <t>C</t>
    </r>
    <r>
      <rPr>
        <vertAlign val="subscript"/>
        <sz val="12"/>
        <color indexed="8"/>
        <rFont val="Times New Roman"/>
        <family val="1"/>
      </rPr>
      <t xml:space="preserve">s </t>
    </r>
    <r>
      <rPr>
        <sz val="12"/>
        <color theme="1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≈</t>
    </r>
    <r>
      <rPr>
        <sz val="12"/>
        <color theme="1"/>
        <rFont val="Times New Roman"/>
        <family val="1"/>
      </rPr>
      <t xml:space="preserve"> 1.1396</t>
    </r>
  </si>
  <si>
    <r>
      <t>C</t>
    </r>
    <r>
      <rPr>
        <vertAlign val="subscript"/>
        <sz val="12"/>
        <color indexed="8"/>
        <rFont val="Times New Roman"/>
        <family val="1"/>
      </rPr>
      <t>K</t>
    </r>
    <r>
      <rPr>
        <sz val="12"/>
        <color theme="1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≈</t>
    </r>
    <r>
      <rPr>
        <sz val="12"/>
        <color theme="1"/>
        <rFont val="Times New Roman"/>
        <family val="1"/>
      </rPr>
      <t xml:space="preserve"> 5.4002</t>
    </r>
  </si>
  <si>
    <r>
      <t>C</t>
    </r>
    <r>
      <rPr>
        <vertAlign val="subscript"/>
        <sz val="12"/>
        <color indexed="8"/>
        <rFont val="Times New Roman"/>
        <family val="1"/>
      </rPr>
      <t xml:space="preserve">S </t>
    </r>
    <r>
      <rPr>
        <sz val="12"/>
        <color theme="1"/>
        <rFont val="Times New Roman"/>
        <family val="1"/>
      </rPr>
      <t>dan C</t>
    </r>
    <r>
      <rPr>
        <vertAlign val="subscript"/>
        <sz val="12"/>
        <color indexed="8"/>
        <rFont val="Times New Roman"/>
        <family val="1"/>
      </rPr>
      <t xml:space="preserve">K  </t>
    </r>
    <r>
      <rPr>
        <sz val="12"/>
        <color theme="1"/>
        <rFont val="Times New Roman"/>
        <family val="1"/>
      </rPr>
      <t>bebas</t>
    </r>
  </si>
  <si>
    <t>Cs  A = 0,1</t>
  </si>
  <si>
    <r>
      <t>(log X)</t>
    </r>
    <r>
      <rPr>
        <b/>
        <vertAlign val="superscript"/>
        <sz val="12"/>
        <rFont val="Times New Roman"/>
        <family val="1"/>
      </rPr>
      <t>2</t>
    </r>
  </si>
  <si>
    <r>
      <t>(log X - log ẍ)</t>
    </r>
    <r>
      <rPr>
        <b/>
        <vertAlign val="superscript"/>
        <sz val="12"/>
        <rFont val="Times New Roman"/>
        <family val="1"/>
      </rPr>
      <t>3</t>
    </r>
    <r>
      <rPr>
        <b/>
        <sz val="12"/>
        <rFont val="Times New Roman"/>
        <family val="1"/>
      </rPr>
      <t xml:space="preserve"> </t>
    </r>
  </si>
  <si>
    <r>
      <t>W</t>
    </r>
    <r>
      <rPr>
        <vertAlign val="subscript"/>
        <sz val="12"/>
        <rFont val="Times New Roman"/>
        <family val="1"/>
      </rPr>
      <t>xi</t>
    </r>
    <r>
      <rPr>
        <sz val="12"/>
        <rFont val="Times New Roman"/>
        <family val="1"/>
      </rPr>
      <t xml:space="preserve"> = m/(n+1)</t>
    </r>
  </si>
  <si>
    <t>ꜚlog ẍ =</t>
  </si>
  <si>
    <r>
      <t>C</t>
    </r>
    <r>
      <rPr>
        <vertAlign val="subscript"/>
        <sz val="12"/>
        <rFont val="Times New Roman"/>
        <family val="1"/>
      </rPr>
      <t>s</t>
    </r>
    <r>
      <rPr>
        <sz val="12"/>
        <rFont val="Times New Roman"/>
        <family val="1"/>
      </rPr>
      <t xml:space="preserve"> = 0,109</t>
    </r>
  </si>
  <si>
    <r>
      <t>S</t>
    </r>
    <r>
      <rPr>
        <vertAlign val="subscript"/>
        <sz val="12"/>
        <rFont val="Times New Roman"/>
        <family val="1"/>
      </rPr>
      <t>D</t>
    </r>
  </si>
  <si>
    <r>
      <t>G.S</t>
    </r>
    <r>
      <rPr>
        <vertAlign val="subscript"/>
        <sz val="12"/>
        <rFont val="Times New Roman"/>
        <family val="1"/>
      </rPr>
      <t>D</t>
    </r>
  </si>
  <si>
    <r>
      <t>log R</t>
    </r>
    <r>
      <rPr>
        <vertAlign val="subscript"/>
        <sz val="12"/>
        <rFont val="Times New Roman"/>
        <family val="1"/>
      </rPr>
      <t>ti</t>
    </r>
  </si>
  <si>
    <r>
      <t>R</t>
    </r>
    <r>
      <rPr>
        <vertAlign val="subscript"/>
        <sz val="12"/>
        <rFont val="Times New Roman"/>
        <family val="1"/>
      </rPr>
      <t>ti  (mm)</t>
    </r>
  </si>
  <si>
    <r>
      <t>R</t>
    </r>
    <r>
      <rPr>
        <vertAlign val="subscript"/>
        <sz val="12"/>
        <rFont val="Times New Roman"/>
        <family val="1"/>
      </rPr>
      <t xml:space="preserve">T  </t>
    </r>
    <r>
      <rPr>
        <sz val="12"/>
        <rFont val="Times New Roman"/>
        <family val="1"/>
      </rPr>
      <t xml:space="preserve"> (mm)</t>
    </r>
  </si>
  <si>
    <r>
      <t>I</t>
    </r>
    <r>
      <rPr>
        <vertAlign val="subscript"/>
        <sz val="12"/>
        <rFont val="Times New Roman"/>
        <family val="1"/>
      </rPr>
      <t xml:space="preserve">R      </t>
    </r>
    <r>
      <rPr>
        <sz val="12"/>
        <rFont val="Times New Roman"/>
        <family val="1"/>
      </rPr>
      <t xml:space="preserve">(mm/jam) </t>
    </r>
  </si>
  <si>
    <t>(ton)</t>
  </si>
  <si>
    <t>total erosi 10 tahun</t>
  </si>
  <si>
    <t>rata-rata erosi per tahun</t>
  </si>
  <si>
    <t>total erosi</t>
  </si>
  <si>
    <t>rata rata erosi</t>
  </si>
  <si>
    <r>
      <t>Q</t>
    </r>
    <r>
      <rPr>
        <vertAlign val="subscript"/>
        <sz val="12"/>
        <rFont val="Times New Roman"/>
        <family val="1"/>
      </rPr>
      <t xml:space="preserve">P   </t>
    </r>
    <r>
      <rPr>
        <sz val="12"/>
        <rFont val="Times New Roman"/>
        <family val="1"/>
      </rPr>
      <t>(m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/dt) </t>
    </r>
  </si>
  <si>
    <t>D (m)</t>
  </si>
  <si>
    <r>
      <t>A (m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</si>
  <si>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b</t>
  </si>
  <si>
    <r>
      <t>(X - ẍ)</t>
    </r>
    <r>
      <rPr>
        <vertAlign val="superscript"/>
        <sz val="12"/>
        <color theme="1"/>
        <rFont val="Times New Roman"/>
        <family val="1"/>
      </rPr>
      <t>2</t>
    </r>
  </si>
  <si>
    <r>
      <t>(log X - log ẍ)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</t>
    </r>
  </si>
  <si>
    <r>
      <t>Jadi didapat X</t>
    </r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Times New Roman"/>
        <family val="2"/>
        <charset val="1"/>
      </rPr>
      <t xml:space="preserve"> hasil hitungan :        X</t>
    </r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Times New Roman"/>
        <family val="2"/>
        <charset val="1"/>
      </rPr>
      <t xml:space="preserve"> = 0,000</t>
    </r>
  </si>
  <si>
    <t>0,000 &lt; 5.991</t>
  </si>
  <si>
    <t>Laju Erosi</t>
  </si>
  <si>
    <t>nilai Ef</t>
  </si>
  <si>
    <t>k = 1 + 3,3 log n</t>
  </si>
  <si>
    <t>k = 1 + 3,3 log 10</t>
  </si>
  <si>
    <t>n/k</t>
  </si>
  <si>
    <t>0,5X</t>
  </si>
  <si>
    <t>Xawal</t>
  </si>
  <si>
    <t>&lt;P&lt;</t>
  </si>
  <si>
    <t>Laju Sedimen</t>
  </si>
  <si>
    <t>0,031  &lt;  0,41   (ok !)</t>
  </si>
  <si>
    <r>
      <t>Δ</t>
    </r>
    <r>
      <rPr>
        <vertAlign val="subscript"/>
        <sz val="12"/>
        <rFont val="Times New Roman"/>
        <family val="1"/>
      </rPr>
      <t>max</t>
    </r>
    <r>
      <rPr>
        <sz val="12"/>
        <rFont val="Times New Roman"/>
        <family val="1"/>
      </rPr>
      <t xml:space="preserve"> &lt; Δ</t>
    </r>
    <r>
      <rPr>
        <vertAlign val="subscript"/>
        <sz val="12"/>
        <rFont val="Times New Roman"/>
        <family val="1"/>
      </rPr>
      <t xml:space="preserve">kritik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</si>
</sst>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000"/>
    <numFmt numFmtId="167" formatCode="0.0000"/>
    <numFmt numFmtId="168" formatCode="0.00000"/>
  </numFmts>
  <fonts count="48" x14ac:knownFonts="1">
    <font>
      <sz val="11"/>
      <color theme="1"/>
      <name val="Times New Roman"/>
      <family val="2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sz val="11"/>
      <color indexed="8"/>
      <name val="Arial"/>
      <family val="2"/>
    </font>
    <font>
      <sz val="9.8000000000000007"/>
      <color indexed="8"/>
      <name val="Calibri"/>
      <family val="2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2"/>
      <charset val="1"/>
    </font>
    <font>
      <vertAlign val="superscript"/>
      <sz val="11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1"/>
      <color indexed="12"/>
      <name val="Times New Roman"/>
      <family val="1"/>
    </font>
    <font>
      <b/>
      <sz val="12"/>
      <color indexed="10"/>
      <name val="Times New Roman"/>
      <family val="1"/>
    </font>
    <font>
      <b/>
      <sz val="10"/>
      <name val="Arial"/>
      <family val="2"/>
    </font>
    <font>
      <vertAlign val="subscript"/>
      <sz val="10"/>
      <name val="Arial"/>
      <family val="2"/>
    </font>
    <font>
      <sz val="12"/>
      <color theme="1"/>
      <name val="Times New Roman"/>
      <family val="2"/>
      <charset val="1"/>
    </font>
    <font>
      <vertAlign val="superscript"/>
      <sz val="12"/>
      <color indexed="8"/>
      <name val="Times New Roman"/>
      <family val="1"/>
    </font>
    <font>
      <sz val="12"/>
      <color indexed="8"/>
      <name val="Times New Roman"/>
      <family val="1"/>
    </font>
    <font>
      <vertAlign val="subscript"/>
      <sz val="12"/>
      <color indexed="8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3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b/>
      <vertAlign val="superscript"/>
      <sz val="12"/>
      <name val="Times New Roman"/>
      <family val="1"/>
    </font>
    <font>
      <sz val="11"/>
      <color theme="2" tint="-0.89999084444715716"/>
      <name val="Times New Roman"/>
      <family val="1"/>
    </font>
    <font>
      <sz val="11"/>
      <color theme="2" tint="-9.9978637043366805E-2"/>
      <name val="Times New Roman"/>
      <family val="1"/>
    </font>
    <font>
      <sz val="1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theme="2" tint="-0.89989928891872917"/>
      </right>
      <top style="medium">
        <color indexed="64"/>
      </top>
      <bottom/>
      <diagonal/>
    </border>
    <border>
      <left style="thin">
        <color theme="2" tint="-0.89989928891872917"/>
      </left>
      <right/>
      <top style="medium">
        <color indexed="64"/>
      </top>
      <bottom/>
      <diagonal/>
    </border>
    <border>
      <left style="thin">
        <color theme="2" tint="-0.89989928891872917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408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9" fillId="0" borderId="49" xfId="0" applyFont="1" applyBorder="1"/>
    <xf numFmtId="0" fontId="9" fillId="0" borderId="50" xfId="0" applyFont="1" applyBorder="1"/>
    <xf numFmtId="0" fontId="9" fillId="0" borderId="49" xfId="0" applyFont="1" applyBorder="1" applyAlignment="1">
      <alignment horizontal="center"/>
    </xf>
    <xf numFmtId="0" fontId="8" fillId="0" borderId="40" xfId="0" applyFont="1" applyBorder="1" applyAlignment="1">
      <alignment horizontal="left"/>
    </xf>
    <xf numFmtId="1" fontId="13" fillId="0" borderId="40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center"/>
    </xf>
    <xf numFmtId="0" fontId="8" fillId="0" borderId="43" xfId="0" applyFont="1" applyBorder="1" applyAlignment="1">
      <alignment horizontal="left"/>
    </xf>
    <xf numFmtId="0" fontId="1" fillId="0" borderId="0" xfId="0" applyFont="1" applyBorder="1"/>
    <xf numFmtId="0" fontId="5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64" fontId="0" fillId="0" borderId="0" xfId="0" applyNumberFormat="1"/>
    <xf numFmtId="165" fontId="1" fillId="0" borderId="21" xfId="0" applyNumberFormat="1" applyFon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5" fontId="1" fillId="0" borderId="48" xfId="0" applyNumberFormat="1" applyFont="1" applyBorder="1" applyAlignment="1">
      <alignment horizontal="center"/>
    </xf>
    <xf numFmtId="165" fontId="1" fillId="0" borderId="42" xfId="0" applyNumberFormat="1" applyFont="1" applyBorder="1" applyAlignment="1">
      <alignment horizontal="center"/>
    </xf>
    <xf numFmtId="165" fontId="1" fillId="0" borderId="46" xfId="0" applyNumberFormat="1" applyFont="1" applyBorder="1" applyAlignment="1">
      <alignment horizontal="center"/>
    </xf>
    <xf numFmtId="165" fontId="1" fillId="0" borderId="51" xfId="0" applyNumberFormat="1" applyFont="1" applyBorder="1" applyAlignment="1">
      <alignment horizontal="center"/>
    </xf>
    <xf numFmtId="165" fontId="1" fillId="0" borderId="47" xfId="0" applyNumberFormat="1" applyFont="1" applyBorder="1" applyAlignment="1">
      <alignment horizontal="center"/>
    </xf>
    <xf numFmtId="165" fontId="1" fillId="0" borderId="45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2" fontId="0" fillId="0" borderId="0" xfId="0" applyNumberFormat="1"/>
    <xf numFmtId="2" fontId="1" fillId="0" borderId="0" xfId="0" applyNumberFormat="1" applyFont="1"/>
    <xf numFmtId="0" fontId="0" fillId="0" borderId="43" xfId="0" applyBorder="1"/>
    <xf numFmtId="0" fontId="0" fillId="0" borderId="31" xfId="0" applyBorder="1"/>
    <xf numFmtId="164" fontId="18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19" fillId="0" borderId="0" xfId="0" applyFont="1"/>
    <xf numFmtId="0" fontId="0" fillId="0" borderId="0" xfId="0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166" fontId="0" fillId="0" borderId="0" xfId="0" applyNumberFormat="1"/>
    <xf numFmtId="0" fontId="0" fillId="0" borderId="21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1" fillId="0" borderId="0" xfId="0" applyNumberFormat="1" applyFont="1" applyFill="1"/>
    <xf numFmtId="164" fontId="0" fillId="0" borderId="21" xfId="0" applyNumberFormat="1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6" fillId="0" borderId="0" xfId="0" applyFont="1" applyAlignment="1"/>
    <xf numFmtId="167" fontId="1" fillId="0" borderId="0" xfId="0" applyNumberFormat="1" applyFont="1"/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1" fontId="8" fillId="0" borderId="46" xfId="0" applyNumberFormat="1" applyFont="1" applyBorder="1" applyAlignment="1">
      <alignment horizontal="center"/>
    </xf>
    <xf numFmtId="0" fontId="2" fillId="0" borderId="0" xfId="0" applyFont="1" applyBorder="1" applyAlignment="1"/>
    <xf numFmtId="0" fontId="7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27" fillId="0" borderId="48" xfId="0" applyFont="1" applyBorder="1"/>
    <xf numFmtId="0" fontId="27" fillId="0" borderId="41" xfId="0" applyFont="1" applyBorder="1"/>
    <xf numFmtId="0" fontId="0" fillId="0" borderId="41" xfId="0" applyBorder="1"/>
    <xf numFmtId="0" fontId="0" fillId="0" borderId="42" xfId="0" applyBorder="1"/>
    <xf numFmtId="0" fontId="0" fillId="0" borderId="46" xfId="0" applyBorder="1"/>
    <xf numFmtId="0" fontId="0" fillId="0" borderId="51" xfId="0" applyBorder="1"/>
    <xf numFmtId="9" fontId="0" fillId="0" borderId="0" xfId="0" applyNumberFormat="1"/>
    <xf numFmtId="0" fontId="24" fillId="0" borderId="0" xfId="0" applyFont="1"/>
    <xf numFmtId="0" fontId="0" fillId="0" borderId="47" xfId="0" applyBorder="1"/>
    <xf numFmtId="0" fontId="0" fillId="0" borderId="44" xfId="0" applyBorder="1"/>
    <xf numFmtId="0" fontId="0" fillId="0" borderId="45" xfId="0" applyBorder="1"/>
    <xf numFmtId="164" fontId="0" fillId="0" borderId="5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31" xfId="0" applyBorder="1" applyAlignment="1">
      <alignment horizontal="right"/>
    </xf>
    <xf numFmtId="164" fontId="0" fillId="0" borderId="32" xfId="0" applyNumberFormat="1" applyBorder="1" applyAlignment="1">
      <alignment horizontal="center"/>
    </xf>
    <xf numFmtId="0" fontId="17" fillId="0" borderId="0" xfId="0" applyFont="1"/>
    <xf numFmtId="1" fontId="13" fillId="0" borderId="43" xfId="0" applyNumberFormat="1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1" fillId="0" borderId="78" xfId="0" applyFont="1" applyBorder="1" applyAlignment="1">
      <alignment horizontal="center"/>
    </xf>
    <xf numFmtId="0" fontId="1" fillId="0" borderId="8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2" fontId="1" fillId="0" borderId="8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30" xfId="0" applyFont="1" applyBorder="1" applyAlignment="1">
      <alignment horizontal="center" vertical="center"/>
    </xf>
    <xf numFmtId="164" fontId="29" fillId="0" borderId="21" xfId="0" applyNumberFormat="1" applyFont="1" applyBorder="1" applyAlignment="1">
      <alignment horizontal="center"/>
    </xf>
    <xf numFmtId="0" fontId="29" fillId="0" borderId="21" xfId="0" applyFont="1" applyBorder="1" applyAlignment="1">
      <alignment horizontal="center" vertical="center"/>
    </xf>
    <xf numFmtId="2" fontId="29" fillId="0" borderId="21" xfId="0" applyNumberFormat="1" applyFont="1" applyBorder="1" applyAlignment="1">
      <alignment horizontal="center"/>
    </xf>
    <xf numFmtId="0" fontId="29" fillId="0" borderId="0" xfId="0" applyFont="1"/>
    <xf numFmtId="0" fontId="29" fillId="0" borderId="21" xfId="0" applyFont="1" applyBorder="1" applyAlignment="1">
      <alignment horizontal="right"/>
    </xf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4" fillId="0" borderId="21" xfId="0" applyFont="1" applyBorder="1" applyAlignment="1">
      <alignment horizontal="center"/>
    </xf>
    <xf numFmtId="2" fontId="34" fillId="0" borderId="21" xfId="0" applyNumberFormat="1" applyFont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1" fontId="34" fillId="0" borderId="21" xfId="0" applyNumberFormat="1" applyFont="1" applyBorder="1" applyAlignment="1">
      <alignment horizontal="center"/>
    </xf>
    <xf numFmtId="1" fontId="34" fillId="0" borderId="0" xfId="0" quotePrefix="1" applyNumberFormat="1" applyFont="1"/>
    <xf numFmtId="0" fontId="37" fillId="0" borderId="0" xfId="0" applyFont="1"/>
    <xf numFmtId="2" fontId="37" fillId="0" borderId="0" xfId="0" applyNumberFormat="1" applyFont="1"/>
    <xf numFmtId="167" fontId="35" fillId="0" borderId="0" xfId="0" applyNumberFormat="1" applyFont="1" applyBorder="1" applyAlignment="1">
      <alignment horizontal="center"/>
    </xf>
    <xf numFmtId="0" fontId="34" fillId="0" borderId="0" xfId="0" applyFont="1" applyBorder="1"/>
    <xf numFmtId="164" fontId="34" fillId="0" borderId="21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43" xfId="0" applyFont="1" applyBorder="1" applyAlignment="1">
      <alignment horizontal="center"/>
    </xf>
    <xf numFmtId="0" fontId="34" fillId="0" borderId="21" xfId="0" applyFont="1" applyBorder="1" applyAlignment="1">
      <alignment horizontal="right"/>
    </xf>
    <xf numFmtId="2" fontId="34" fillId="0" borderId="32" xfId="0" applyNumberFormat="1" applyFont="1" applyBorder="1" applyAlignment="1">
      <alignment horizontal="center"/>
    </xf>
    <xf numFmtId="164" fontId="34" fillId="0" borderId="0" xfId="0" applyNumberFormat="1" applyFont="1"/>
    <xf numFmtId="2" fontId="34" fillId="0" borderId="39" xfId="0" applyNumberFormat="1" applyFont="1" applyBorder="1" applyAlignment="1">
      <alignment horizontal="center"/>
    </xf>
    <xf numFmtId="164" fontId="34" fillId="0" borderId="39" xfId="0" applyNumberFormat="1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2" fontId="34" fillId="0" borderId="43" xfId="0" applyNumberFormat="1" applyFont="1" applyBorder="1" applyAlignment="1">
      <alignment horizontal="center"/>
    </xf>
    <xf numFmtId="164" fontId="34" fillId="0" borderId="43" xfId="0" applyNumberFormat="1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164" fontId="34" fillId="0" borderId="0" xfId="0" applyNumberFormat="1" applyFont="1" applyFill="1" applyBorder="1" applyAlignment="1">
      <alignment horizontal="center"/>
    </xf>
    <xf numFmtId="0" fontId="36" fillId="0" borderId="30" xfId="0" applyFont="1" applyBorder="1" applyAlignment="1"/>
    <xf numFmtId="0" fontId="39" fillId="0" borderId="41" xfId="0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41" fillId="0" borderId="40" xfId="0" applyFont="1" applyBorder="1" applyAlignment="1">
      <alignment horizontal="center"/>
    </xf>
    <xf numFmtId="0" fontId="41" fillId="0" borderId="43" xfId="0" applyFont="1" applyBorder="1" applyAlignment="1">
      <alignment horizontal="center"/>
    </xf>
    <xf numFmtId="0" fontId="41" fillId="0" borderId="40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1" fontId="41" fillId="0" borderId="40" xfId="0" applyNumberFormat="1" applyFont="1" applyBorder="1" applyAlignment="1">
      <alignment horizontal="center" vertical="center"/>
    </xf>
    <xf numFmtId="2" fontId="41" fillId="0" borderId="0" xfId="0" applyNumberFormat="1" applyFont="1" applyAlignment="1">
      <alignment horizontal="center" vertical="center"/>
    </xf>
    <xf numFmtId="2" fontId="41" fillId="0" borderId="40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41" fillId="0" borderId="21" xfId="0" applyNumberFormat="1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/>
    </xf>
    <xf numFmtId="0" fontId="39" fillId="0" borderId="49" xfId="0" applyFont="1" applyBorder="1" applyAlignment="1">
      <alignment horizontal="center"/>
    </xf>
    <xf numFmtId="0" fontId="39" fillId="0" borderId="50" xfId="0" applyFont="1" applyBorder="1" applyAlignment="1">
      <alignment horizontal="center"/>
    </xf>
    <xf numFmtId="0" fontId="34" fillId="0" borderId="53" xfId="0" applyFont="1" applyBorder="1"/>
    <xf numFmtId="0" fontId="34" fillId="0" borderId="54" xfId="0" applyFont="1" applyBorder="1"/>
    <xf numFmtId="0" fontId="34" fillId="0" borderId="55" xfId="0" applyFont="1" applyBorder="1"/>
    <xf numFmtId="0" fontId="34" fillId="0" borderId="43" xfId="0" applyFont="1" applyBorder="1"/>
    <xf numFmtId="0" fontId="34" fillId="0" borderId="21" xfId="0" applyFont="1" applyBorder="1"/>
    <xf numFmtId="0" fontId="34" fillId="0" borderId="44" xfId="0" applyFont="1" applyBorder="1" applyAlignment="1">
      <alignment horizontal="left"/>
    </xf>
    <xf numFmtId="0" fontId="34" fillId="0" borderId="39" xfId="0" applyFont="1" applyBorder="1"/>
    <xf numFmtId="0" fontId="34" fillId="0" borderId="31" xfId="0" applyFont="1" applyBorder="1"/>
    <xf numFmtId="0" fontId="34" fillId="0" borderId="40" xfId="0" applyFont="1" applyBorder="1"/>
    <xf numFmtId="0" fontId="34" fillId="0" borderId="40" xfId="0" applyFont="1" applyBorder="1" applyAlignment="1">
      <alignment horizontal="left"/>
    </xf>
    <xf numFmtId="0" fontId="34" fillId="0" borderId="21" xfId="0" applyFont="1" applyBorder="1" applyAlignment="1">
      <alignment horizontal="left"/>
    </xf>
    <xf numFmtId="0" fontId="40" fillId="0" borderId="39" xfId="0" applyFont="1" applyBorder="1" applyAlignment="1">
      <alignment horizontal="center"/>
    </xf>
    <xf numFmtId="1" fontId="41" fillId="0" borderId="40" xfId="0" applyNumberFormat="1" applyFont="1" applyBorder="1" applyAlignment="1">
      <alignment horizontal="center"/>
    </xf>
    <xf numFmtId="164" fontId="41" fillId="0" borderId="40" xfId="0" applyNumberFormat="1" applyFont="1" applyBorder="1" applyAlignment="1">
      <alignment horizontal="center"/>
    </xf>
    <xf numFmtId="164" fontId="41" fillId="0" borderId="0" xfId="0" applyNumberFormat="1" applyFont="1" applyAlignment="1">
      <alignment horizontal="center"/>
    </xf>
    <xf numFmtId="166" fontId="41" fillId="0" borderId="40" xfId="0" applyNumberFormat="1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164" fontId="41" fillId="0" borderId="21" xfId="0" applyNumberFormat="1" applyFont="1" applyBorder="1" applyAlignment="1">
      <alignment horizontal="center"/>
    </xf>
    <xf numFmtId="0" fontId="41" fillId="0" borderId="47" xfId="0" applyFont="1" applyBorder="1" applyAlignment="1">
      <alignment horizontal="center"/>
    </xf>
    <xf numFmtId="164" fontId="41" fillId="0" borderId="44" xfId="0" applyNumberFormat="1" applyFont="1" applyBorder="1" applyAlignment="1">
      <alignment horizontal="center"/>
    </xf>
    <xf numFmtId="164" fontId="41" fillId="0" borderId="43" xfId="0" applyNumberFormat="1" applyFont="1" applyBorder="1" applyAlignment="1">
      <alignment horizontal="center"/>
    </xf>
    <xf numFmtId="164" fontId="41" fillId="0" borderId="47" xfId="0" applyNumberFormat="1" applyFont="1" applyBorder="1" applyAlignment="1">
      <alignment horizontal="center"/>
    </xf>
    <xf numFmtId="164" fontId="41" fillId="0" borderId="45" xfId="0" applyNumberFormat="1" applyFont="1" applyBorder="1" applyAlignment="1">
      <alignment horizontal="center"/>
    </xf>
    <xf numFmtId="0" fontId="41" fillId="0" borderId="46" xfId="0" applyFont="1" applyBorder="1" applyAlignment="1">
      <alignment horizontal="center"/>
    </xf>
    <xf numFmtId="164" fontId="41" fillId="0" borderId="46" xfId="0" applyNumberFormat="1" applyFont="1" applyBorder="1" applyAlignment="1">
      <alignment horizontal="center"/>
    </xf>
    <xf numFmtId="164" fontId="41" fillId="0" borderId="0" xfId="0" applyNumberFormat="1" applyFont="1" applyBorder="1" applyAlignment="1">
      <alignment horizontal="center"/>
    </xf>
    <xf numFmtId="164" fontId="41" fillId="0" borderId="51" xfId="0" applyNumberFormat="1" applyFont="1" applyBorder="1" applyAlignment="1">
      <alignment horizontal="center"/>
    </xf>
    <xf numFmtId="0" fontId="41" fillId="0" borderId="30" xfId="0" applyFont="1" applyBorder="1" applyAlignment="1">
      <alignment horizontal="center"/>
    </xf>
    <xf numFmtId="164" fontId="41" fillId="0" borderId="31" xfId="0" applyNumberFormat="1" applyFont="1" applyBorder="1" applyAlignment="1">
      <alignment horizontal="center"/>
    </xf>
    <xf numFmtId="164" fontId="41" fillId="0" borderId="32" xfId="0" applyNumberFormat="1" applyFont="1" applyBorder="1" applyAlignment="1">
      <alignment horizontal="center"/>
    </xf>
    <xf numFmtId="0" fontId="41" fillId="0" borderId="22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67" xfId="0" applyFont="1" applyBorder="1" applyAlignment="1">
      <alignment horizontal="center"/>
    </xf>
    <xf numFmtId="0" fontId="41" fillId="0" borderId="24" xfId="0" applyFont="1" applyBorder="1" applyAlignment="1">
      <alignment horizontal="center"/>
    </xf>
    <xf numFmtId="0" fontId="41" fillId="0" borderId="69" xfId="0" applyFont="1" applyBorder="1" applyAlignment="1">
      <alignment horizontal="center"/>
    </xf>
    <xf numFmtId="0" fontId="41" fillId="0" borderId="39" xfId="0" applyFont="1" applyBorder="1" applyAlignment="1">
      <alignment horizontal="center"/>
    </xf>
    <xf numFmtId="167" fontId="41" fillId="0" borderId="41" xfId="0" applyNumberFormat="1" applyFont="1" applyBorder="1" applyAlignment="1">
      <alignment horizontal="center"/>
    </xf>
    <xf numFmtId="2" fontId="41" fillId="0" borderId="70" xfId="0" applyNumberFormat="1" applyFont="1" applyBorder="1" applyAlignment="1">
      <alignment horizontal="center"/>
    </xf>
    <xf numFmtId="0" fontId="41" fillId="0" borderId="71" xfId="0" applyFont="1" applyBorder="1" applyAlignment="1">
      <alignment horizontal="center"/>
    </xf>
    <xf numFmtId="167" fontId="41" fillId="0" borderId="0" xfId="0" applyNumberFormat="1" applyFont="1" applyBorder="1" applyAlignment="1">
      <alignment horizontal="center"/>
    </xf>
    <xf numFmtId="2" fontId="41" fillId="0" borderId="72" xfId="0" applyNumberFormat="1" applyFont="1" applyBorder="1" applyAlignment="1">
      <alignment horizontal="center"/>
    </xf>
    <xf numFmtId="0" fontId="41" fillId="0" borderId="73" xfId="0" applyFont="1" applyBorder="1" applyAlignment="1">
      <alignment horizontal="center"/>
    </xf>
    <xf numFmtId="0" fontId="41" fillId="0" borderId="68" xfId="0" applyFont="1" applyBorder="1" applyAlignment="1">
      <alignment horizontal="center"/>
    </xf>
    <xf numFmtId="167" fontId="41" fillId="0" borderId="19" xfId="0" applyNumberFormat="1" applyFont="1" applyBorder="1" applyAlignment="1">
      <alignment horizontal="center"/>
    </xf>
    <xf numFmtId="2" fontId="41" fillId="0" borderId="74" xfId="0" applyNumberFormat="1" applyFont="1" applyBorder="1" applyAlignment="1">
      <alignment horizontal="center"/>
    </xf>
    <xf numFmtId="164" fontId="41" fillId="0" borderId="39" xfId="0" applyNumberFormat="1" applyFont="1" applyBorder="1" applyAlignment="1">
      <alignment horizontal="center"/>
    </xf>
    <xf numFmtId="164" fontId="41" fillId="0" borderId="68" xfId="0" applyNumberFormat="1" applyFont="1" applyBorder="1" applyAlignment="1">
      <alignment horizontal="center"/>
    </xf>
    <xf numFmtId="167" fontId="41" fillId="0" borderId="39" xfId="0" applyNumberFormat="1" applyFont="1" applyBorder="1" applyAlignment="1">
      <alignment horizontal="center"/>
    </xf>
    <xf numFmtId="167" fontId="41" fillId="0" borderId="40" xfId="0" applyNumberFormat="1" applyFont="1" applyBorder="1" applyAlignment="1">
      <alignment horizontal="center"/>
    </xf>
    <xf numFmtId="167" fontId="41" fillId="0" borderId="68" xfId="0" applyNumberFormat="1" applyFont="1" applyBorder="1" applyAlignment="1">
      <alignment horizontal="center"/>
    </xf>
    <xf numFmtId="168" fontId="38" fillId="0" borderId="0" xfId="0" applyNumberFormat="1" applyFont="1"/>
    <xf numFmtId="0" fontId="41" fillId="0" borderId="21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vertical="center"/>
    </xf>
    <xf numFmtId="0" fontId="34" fillId="0" borderId="39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2" fontId="34" fillId="0" borderId="0" xfId="0" applyNumberFormat="1" applyFont="1"/>
    <xf numFmtId="0" fontId="0" fillId="0" borderId="39" xfId="0" applyBorder="1" applyAlignment="1">
      <alignment horizontal="center"/>
    </xf>
    <xf numFmtId="0" fontId="34" fillId="0" borderId="21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/>
    </xf>
    <xf numFmtId="2" fontId="34" fillId="0" borderId="30" xfId="0" applyNumberFormat="1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41" fillId="0" borderId="21" xfId="0" applyNumberFormat="1" applyFont="1" applyBorder="1" applyAlignment="1">
      <alignment horizontal="center"/>
    </xf>
    <xf numFmtId="0" fontId="1" fillId="0" borderId="19" xfId="0" applyFont="1" applyBorder="1"/>
    <xf numFmtId="0" fontId="1" fillId="0" borderId="21" xfId="0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" fillId="0" borderId="51" xfId="0" applyFont="1" applyBorder="1"/>
    <xf numFmtId="165" fontId="1" fillId="0" borderId="0" xfId="0" applyNumberFormat="1" applyFont="1"/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45" fillId="0" borderId="85" xfId="1" applyFont="1" applyFill="1" applyBorder="1" applyAlignment="1">
      <alignment horizontal="center" vertical="center"/>
    </xf>
    <xf numFmtId="0" fontId="45" fillId="0" borderId="81" xfId="1" applyFont="1" applyFill="1" applyBorder="1" applyAlignment="1">
      <alignment horizontal="center" vertical="center"/>
    </xf>
    <xf numFmtId="0" fontId="45" fillId="0" borderId="11" xfId="1" applyFont="1" applyFill="1" applyBorder="1" applyAlignment="1">
      <alignment horizontal="center" vertical="center"/>
    </xf>
    <xf numFmtId="0" fontId="45" fillId="0" borderId="36" xfId="1" applyFont="1" applyFill="1" applyBorder="1" applyAlignment="1">
      <alignment horizontal="center" vertical="center"/>
    </xf>
    <xf numFmtId="1" fontId="1" fillId="0" borderId="51" xfId="0" applyNumberFormat="1" applyFont="1" applyBorder="1" applyAlignment="1">
      <alignment horizontal="center" vertical="center"/>
    </xf>
    <xf numFmtId="165" fontId="45" fillId="0" borderId="51" xfId="1" applyNumberFormat="1" applyFont="1" applyFill="1" applyBorder="1" applyAlignment="1">
      <alignment horizontal="center" vertical="center"/>
    </xf>
    <xf numFmtId="165" fontId="45" fillId="0" borderId="17" xfId="1" applyNumberFormat="1" applyFont="1" applyFill="1" applyBorder="1" applyAlignment="1">
      <alignment horizontal="center" vertical="center"/>
    </xf>
    <xf numFmtId="0" fontId="45" fillId="0" borderId="37" xfId="1" applyFont="1" applyFill="1" applyBorder="1" applyAlignment="1">
      <alignment horizontal="center" vertical="center"/>
    </xf>
    <xf numFmtId="0" fontId="45" fillId="0" borderId="38" xfId="1" applyFont="1" applyFill="1" applyBorder="1" applyAlignment="1">
      <alignment horizontal="center" vertical="center"/>
    </xf>
    <xf numFmtId="1" fontId="1" fillId="0" borderId="82" xfId="0" applyNumberFormat="1" applyFont="1" applyBorder="1" applyAlignment="1">
      <alignment horizontal="center" vertical="center"/>
    </xf>
    <xf numFmtId="165" fontId="46" fillId="0" borderId="82" xfId="1" applyNumberFormat="1" applyFont="1" applyFill="1" applyBorder="1" applyAlignment="1">
      <alignment horizontal="center" vertical="center"/>
    </xf>
    <xf numFmtId="165" fontId="45" fillId="0" borderId="82" xfId="1" applyNumberFormat="1" applyFont="1" applyFill="1" applyBorder="1" applyAlignment="1">
      <alignment horizontal="center" vertical="center"/>
    </xf>
    <xf numFmtId="165" fontId="45" fillId="0" borderId="20" xfId="1" applyNumberFormat="1" applyFont="1" applyFill="1" applyBorder="1" applyAlignment="1">
      <alignment horizontal="center" vertical="center"/>
    </xf>
    <xf numFmtId="1" fontId="1" fillId="0" borderId="86" xfId="0" applyNumberFormat="1" applyFont="1" applyBorder="1" applyAlignment="1">
      <alignment horizontal="center" vertical="center"/>
    </xf>
    <xf numFmtId="1" fontId="1" fillId="0" borderId="83" xfId="0" applyNumberFormat="1" applyFont="1" applyBorder="1" applyAlignment="1">
      <alignment horizontal="center" vertical="center"/>
    </xf>
    <xf numFmtId="0" fontId="1" fillId="0" borderId="8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" fontId="1" fillId="0" borderId="71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73" xfId="0" applyNumberFormat="1" applyFont="1" applyBorder="1" applyAlignment="1">
      <alignment horizontal="center" vertical="center"/>
    </xf>
    <xf numFmtId="0" fontId="1" fillId="0" borderId="8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0" xfId="0" applyNumberFormat="1" applyFont="1"/>
    <xf numFmtId="1" fontId="41" fillId="0" borderId="32" xfId="0" applyNumberFormat="1" applyFont="1" applyBorder="1" applyAlignment="1">
      <alignment horizontal="center" vertical="center"/>
    </xf>
    <xf numFmtId="2" fontId="34" fillId="0" borderId="40" xfId="0" applyNumberFormat="1" applyFont="1" applyBorder="1" applyAlignment="1">
      <alignment horizontal="center" vertical="center"/>
    </xf>
    <xf numFmtId="2" fontId="34" fillId="0" borderId="43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41" fillId="0" borderId="30" xfId="0" applyNumberFormat="1" applyFont="1" applyBorder="1" applyAlignment="1">
      <alignment horizontal="center"/>
    </xf>
    <xf numFmtId="164" fontId="34" fillId="0" borderId="39" xfId="0" applyNumberFormat="1" applyFont="1" applyBorder="1" applyAlignment="1">
      <alignment horizontal="center" vertical="center"/>
    </xf>
    <xf numFmtId="164" fontId="34" fillId="0" borderId="40" xfId="0" applyNumberFormat="1" applyFont="1" applyBorder="1" applyAlignment="1">
      <alignment horizontal="center" vertical="center"/>
    </xf>
    <xf numFmtId="164" fontId="34" fillId="0" borderId="43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1" fillId="0" borderId="41" xfId="0" applyFont="1" applyBorder="1"/>
    <xf numFmtId="0" fontId="41" fillId="0" borderId="32" xfId="0" applyFont="1" applyBorder="1" applyAlignment="1">
      <alignment horizontal="center"/>
    </xf>
    <xf numFmtId="2" fontId="34" fillId="0" borderId="21" xfId="0" applyNumberFormat="1" applyFont="1" applyBorder="1" applyAlignment="1">
      <alignment horizontal="center" vertical="center"/>
    </xf>
    <xf numFmtId="167" fontId="0" fillId="0" borderId="0" xfId="0" applyNumberFormat="1"/>
    <xf numFmtId="16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1" xfId="0" applyFont="1" applyBorder="1"/>
    <xf numFmtId="0" fontId="0" fillId="0" borderId="21" xfId="0" applyBorder="1" applyAlignment="1">
      <alignment horizontal="center" vertical="center"/>
    </xf>
    <xf numFmtId="164" fontId="29" fillId="0" borderId="21" xfId="0" applyNumberFormat="1" applyFont="1" applyBorder="1" applyAlignment="1">
      <alignment horizontal="center" vertical="center"/>
    </xf>
    <xf numFmtId="164" fontId="29" fillId="0" borderId="0" xfId="0" applyNumberFormat="1" applyFont="1" applyAlignment="1">
      <alignment horizontal="center"/>
    </xf>
    <xf numFmtId="0" fontId="1" fillId="0" borderId="41" xfId="0" applyFont="1" applyBorder="1" applyAlignment="1">
      <alignment horizontal="center"/>
    </xf>
    <xf numFmtId="0" fontId="16" fillId="0" borderId="47" xfId="0" applyFont="1" applyBorder="1"/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47" fillId="0" borderId="0" xfId="0" applyFont="1"/>
    <xf numFmtId="2" fontId="0" fillId="0" borderId="48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47" xfId="0" applyNumberForma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2" fontId="1" fillId="0" borderId="51" xfId="0" applyNumberFormat="1" applyFont="1" applyBorder="1" applyAlignment="1">
      <alignment horizontal="center"/>
    </xf>
    <xf numFmtId="2" fontId="1" fillId="0" borderId="45" xfId="0" applyNumberFormat="1" applyFont="1" applyBorder="1" applyAlignment="1">
      <alignment horizontal="center"/>
    </xf>
    <xf numFmtId="0" fontId="41" fillId="0" borderId="31" xfId="0" applyFont="1" applyBorder="1" applyAlignment="1">
      <alignment horizontal="center"/>
    </xf>
    <xf numFmtId="0" fontId="41" fillId="0" borderId="31" xfId="0" applyFont="1" applyBorder="1"/>
    <xf numFmtId="1" fontId="41" fillId="0" borderId="46" xfId="0" applyNumberFormat="1" applyFont="1" applyBorder="1" applyAlignment="1">
      <alignment horizontal="center"/>
    </xf>
    <xf numFmtId="0" fontId="41" fillId="0" borderId="0" xfId="0" applyFont="1" applyAlignment="1">
      <alignment horizontal="center"/>
    </xf>
    <xf numFmtId="164" fontId="41" fillId="0" borderId="0" xfId="0" applyNumberFormat="1" applyFont="1"/>
    <xf numFmtId="164" fontId="41" fillId="0" borderId="40" xfId="0" applyNumberFormat="1" applyFont="1" applyBorder="1"/>
    <xf numFmtId="1" fontId="41" fillId="0" borderId="47" xfId="0" applyNumberFormat="1" applyFont="1" applyBorder="1" applyAlignment="1">
      <alignment horizontal="center"/>
    </xf>
    <xf numFmtId="0" fontId="41" fillId="0" borderId="44" xfId="0" applyFont="1" applyBorder="1" applyAlignment="1">
      <alignment horizontal="center"/>
    </xf>
    <xf numFmtId="164" fontId="41" fillId="0" borderId="44" xfId="0" applyNumberFormat="1" applyFont="1" applyBorder="1"/>
    <xf numFmtId="164" fontId="41" fillId="0" borderId="43" xfId="0" applyNumberFormat="1" applyFont="1" applyBorder="1"/>
    <xf numFmtId="0" fontId="34" fillId="0" borderId="46" xfId="0" applyFont="1" applyBorder="1"/>
    <xf numFmtId="0" fontId="34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164" fontId="40" fillId="0" borderId="51" xfId="0" applyNumberFormat="1" applyFont="1" applyBorder="1"/>
    <xf numFmtId="0" fontId="34" fillId="0" borderId="51" xfId="0" applyFont="1" applyBorder="1"/>
    <xf numFmtId="0" fontId="41" fillId="0" borderId="0" xfId="0" applyFont="1"/>
    <xf numFmtId="0" fontId="34" fillId="0" borderId="57" xfId="0" applyFont="1" applyBorder="1"/>
    <xf numFmtId="0" fontId="34" fillId="0" borderId="56" xfId="0" applyFont="1" applyBorder="1"/>
    <xf numFmtId="0" fontId="41" fillId="0" borderId="56" xfId="0" applyFont="1" applyBorder="1"/>
    <xf numFmtId="0" fontId="34" fillId="0" borderId="58" xfId="0" applyFont="1" applyBorder="1"/>
    <xf numFmtId="2" fontId="1" fillId="0" borderId="64" xfId="0" applyNumberFormat="1" applyFont="1" applyBorder="1" applyAlignment="1">
      <alignment horizontal="center"/>
    </xf>
    <xf numFmtId="2" fontId="1" fillId="0" borderId="65" xfId="0" applyNumberFormat="1" applyFont="1" applyBorder="1" applyAlignment="1">
      <alignment horizontal="center"/>
    </xf>
    <xf numFmtId="2" fontId="1" fillId="0" borderId="66" xfId="0" applyNumberFormat="1" applyFont="1" applyBorder="1" applyAlignment="1">
      <alignment horizontal="center"/>
    </xf>
    <xf numFmtId="0" fontId="45" fillId="0" borderId="61" xfId="1" applyFont="1" applyFill="1" applyBorder="1" applyAlignment="1">
      <alignment horizontal="center" vertical="center"/>
    </xf>
    <xf numFmtId="0" fontId="45" fillId="0" borderId="18" xfId="1" applyFont="1" applyFill="1" applyBorder="1" applyAlignment="1">
      <alignment horizontal="center" vertical="center"/>
    </xf>
    <xf numFmtId="0" fontId="45" fillId="0" borderId="62" xfId="1" applyFont="1" applyFill="1" applyBorder="1" applyAlignment="1">
      <alignment horizontal="center" vertical="center"/>
    </xf>
    <xf numFmtId="0" fontId="45" fillId="0" borderId="15" xfId="1" applyFont="1" applyFill="1" applyBorder="1" applyAlignment="1">
      <alignment horizontal="center" vertical="center"/>
    </xf>
    <xf numFmtId="0" fontId="45" fillId="0" borderId="16" xfId="1" applyFont="1" applyFill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0" fontId="45" fillId="0" borderId="14" xfId="1" applyFont="1" applyFill="1" applyBorder="1" applyAlignment="1">
      <alignment horizontal="center" vertical="center"/>
    </xf>
    <xf numFmtId="0" fontId="45" fillId="0" borderId="63" xfId="1" applyFont="1" applyFill="1" applyBorder="1" applyAlignment="1">
      <alignment horizontal="center" vertical="center"/>
    </xf>
    <xf numFmtId="0" fontId="45" fillId="0" borderId="10" xfId="1" applyFont="1" applyFill="1" applyBorder="1" applyAlignment="1">
      <alignment horizontal="center" vertical="center"/>
    </xf>
    <xf numFmtId="0" fontId="45" fillId="0" borderId="1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41" fillId="0" borderId="21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41" fillId="0" borderId="30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164" fontId="29" fillId="0" borderId="21" xfId="0" applyNumberFormat="1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69DFDF89-F453-4ECF-B2DC-3FEB1D3EB9BC}"/>
  </cellStyles>
  <dxfs count="2">
    <dxf>
      <font>
        <b/>
        <i val="0"/>
      </font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jp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2</xdr:row>
          <xdr:rowOff>161925</xdr:rowOff>
        </xdr:from>
        <xdr:to>
          <xdr:col>18</xdr:col>
          <xdr:colOff>333375</xdr:colOff>
          <xdr:row>6</xdr:row>
          <xdr:rowOff>180975</xdr:rowOff>
        </xdr:to>
        <xdr:sp macro="" textlink="">
          <xdr:nvSpPr>
            <xdr:cNvPr id="1025" name="Object 4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0</xdr:colOff>
      <xdr:row>8</xdr:row>
      <xdr:rowOff>0</xdr:rowOff>
    </xdr:from>
    <xdr:to>
      <xdr:col>24</xdr:col>
      <xdr:colOff>206189</xdr:colOff>
      <xdr:row>14</xdr:row>
      <xdr:rowOff>51734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Grp="1" noChangeArrowheads="1"/>
        </xdr:cNvSpPr>
      </xdr:nvSpPr>
      <xdr:spPr bwMode="auto">
        <a:xfrm>
          <a:off x="9144000" y="1552575"/>
          <a:ext cx="5692589" cy="1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lvl1pPr marL="273050" indent="-273050" algn="l" rtl="0" eaLnBrk="0" fontAlgn="base" hangingPunct="0">
            <a:spcBef>
              <a:spcPts val="575"/>
            </a:spcBef>
            <a:spcAft>
              <a:spcPct val="0"/>
            </a:spcAft>
            <a:buClr>
              <a:schemeClr val="accent1"/>
            </a:buClr>
            <a:buSzPct val="85000"/>
            <a:buFont typeface="Wingdings 2" pitchFamily="18" charset="2"/>
            <a:buChar char=""/>
            <a:defRPr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7688" indent="-228600" algn="l" rtl="0" eaLnBrk="0" fontAlgn="base" hangingPunct="0">
            <a:spcBef>
              <a:spcPts val="375"/>
            </a:spcBef>
            <a:spcAft>
              <a:spcPct val="0"/>
            </a:spcAft>
            <a:buClr>
              <a:schemeClr val="accent2"/>
            </a:buClr>
            <a:buSzPct val="85000"/>
            <a:buFont typeface="Wingdings 2" pitchFamily="18" charset="2"/>
            <a:buChar char=""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822325" indent="-228600" algn="l" rtl="0" eaLnBrk="0" fontAlgn="base" hangingPunct="0">
            <a:spcBef>
              <a:spcPts val="375"/>
            </a:spcBef>
            <a:spcAft>
              <a:spcPct val="0"/>
            </a:spcAft>
            <a:buClr>
              <a:srgbClr val="E6B1AB"/>
            </a:buClr>
            <a:buSzPct val="85000"/>
            <a:buFont typeface="Wingdings 2" pitchFamily="18" charset="2"/>
            <a:buChar char="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096963" indent="-228600" algn="l" rtl="0" eaLnBrk="0" fontAlgn="base" hangingPunct="0">
            <a:spcBef>
              <a:spcPts val="375"/>
            </a:spcBef>
            <a:spcAft>
              <a:spcPct val="0"/>
            </a:spcAft>
            <a:buClr>
              <a:srgbClr val="A28E6A"/>
            </a:buClr>
            <a:buSzPct val="80000"/>
            <a:buFont typeface="Wingdings 2" pitchFamily="18" charset="2"/>
            <a:buChar char="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371600" indent="-228600" algn="l" rtl="0" eaLnBrk="0" fontAlgn="base" hangingPunct="0">
            <a:spcBef>
              <a:spcPts val="375"/>
            </a:spcBef>
            <a:spcAft>
              <a:spcPct val="0"/>
            </a:spcAft>
            <a:buClr>
              <a:srgbClr val="A28E6A"/>
            </a:buClr>
            <a:buChar char="o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645920" indent="-228600" algn="l" rtl="0" eaLnBrk="1" latinLnBrk="0" hangingPunct="1">
            <a:spcBef>
              <a:spcPts val="370"/>
            </a:spcBef>
            <a:buClr>
              <a:schemeClr val="accent3"/>
            </a:buClr>
            <a:buChar char="•"/>
            <a:defRPr kumimoji="0" sz="1800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920240" indent="-228600" algn="l" rtl="0" eaLnBrk="1" latinLnBrk="0" hangingPunct="1">
            <a:spcBef>
              <a:spcPts val="370"/>
            </a:spcBef>
            <a:buClr>
              <a:schemeClr val="accent2"/>
            </a:buClr>
            <a:buChar char="•"/>
            <a:defRPr kumimoji="0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194560" indent="-228600" algn="l" rtl="0" eaLnBrk="1" latinLnBrk="0" hangingPunct="1">
            <a:spcBef>
              <a:spcPts val="370"/>
            </a:spcBef>
            <a:buClr>
              <a:schemeClr val="accent1">
                <a:tint val="60000"/>
              </a:schemeClr>
            </a:buClr>
            <a:buChar char="•"/>
            <a:defRPr kumimoji="0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468880" indent="-228600" algn="l" rtl="0" eaLnBrk="1" latinLnBrk="0" hangingPunct="1">
            <a:spcBef>
              <a:spcPts val="370"/>
            </a:spcBef>
            <a:buClr>
              <a:schemeClr val="accent2">
                <a:tint val="60000"/>
              </a:schemeClr>
            </a:buClr>
            <a:buChar char="•"/>
            <a:defRPr kumimoji="0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eaLnBrk="1" hangingPunct="1">
            <a:buFont typeface="Wingdings 2" pitchFamily="18" charset="2"/>
            <a:buNone/>
          </a:pPr>
          <a:r>
            <a:rPr lang="en-US" sz="900"/>
            <a:t>R   : erosivitas hujan</a:t>
          </a:r>
        </a:p>
        <a:p>
          <a:pPr eaLnBrk="1" hangingPunct="1">
            <a:buFont typeface="Wingdings 2" pitchFamily="18" charset="2"/>
            <a:buNone/>
          </a:pPr>
          <a:r>
            <a:rPr lang="en-US" sz="900"/>
            <a:t>Ri  : curah hujan bulan ke i (cm)</a:t>
          </a:r>
        </a:p>
        <a:p>
          <a:pPr eaLnBrk="1" hangingPunct="1">
            <a:buFont typeface="Wingdings 2" pitchFamily="18" charset="2"/>
            <a:buNone/>
          </a:pPr>
          <a:endParaRPr lang="en-US" sz="400"/>
        </a:p>
        <a:p>
          <a:pPr eaLnBrk="1" hangingPunct="1">
            <a:buFont typeface="Wingdings 2" pitchFamily="18" charset="2"/>
            <a:buNone/>
          </a:pPr>
          <a:r>
            <a:rPr lang="en-US" sz="900"/>
            <a:t>Catatan: erosivitas hujan ini oleh Wischmeier didefinisikan      </a:t>
          </a:r>
        </a:p>
        <a:p>
          <a:pPr eaLnBrk="1" hangingPunct="1">
            <a:buFont typeface="Wingdings 2" pitchFamily="18" charset="2"/>
            <a:buNone/>
          </a:pPr>
          <a:r>
            <a:rPr lang="en-US" sz="900"/>
            <a:t>               sebagai fungsi dari energi kinetik hujan dengan </a:t>
          </a:r>
        </a:p>
        <a:p>
          <a:pPr eaLnBrk="1" hangingPunct="1">
            <a:buFont typeface="Wingdings 2" pitchFamily="18" charset="2"/>
            <a:buNone/>
          </a:pPr>
          <a:r>
            <a:rPr lang="en-US" sz="900"/>
            <a:t>               intensitas 30 menit (EI 30).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201706</xdr:colOff>
      <xdr:row>10</xdr:row>
      <xdr:rowOff>22412</xdr:rowOff>
    </xdr:from>
    <xdr:to>
      <xdr:col>31</xdr:col>
      <xdr:colOff>39781</xdr:colOff>
      <xdr:row>13</xdr:row>
      <xdr:rowOff>49281</xdr:rowOff>
    </xdr:to>
    <xdr:pic>
      <xdr:nvPicPr>
        <xdr:cNvPr id="3" name="Picture 2" descr="See the source imag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21382" y="2274794"/>
          <a:ext cx="1948703" cy="687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886240</xdr:colOff>
      <xdr:row>19</xdr:row>
      <xdr:rowOff>248478</xdr:rowOff>
    </xdr:from>
    <xdr:to>
      <xdr:col>15</xdr:col>
      <xdr:colOff>158</xdr:colOff>
      <xdr:row>35</xdr:row>
      <xdr:rowOff>12033</xdr:rowOff>
    </xdr:to>
    <xdr:pic>
      <xdr:nvPicPr>
        <xdr:cNvPr id="11" name="Picture 10" descr="See the source imag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6805" y="4414630"/>
          <a:ext cx="4267771" cy="308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243476</xdr:colOff>
      <xdr:row>3</xdr:row>
      <xdr:rowOff>28016</xdr:rowOff>
    </xdr:from>
    <xdr:to>
      <xdr:col>69</xdr:col>
      <xdr:colOff>19997</xdr:colOff>
      <xdr:row>22</xdr:row>
      <xdr:rowOff>175373</xdr:rowOff>
    </xdr:to>
    <xdr:pic>
      <xdr:nvPicPr>
        <xdr:cNvPr id="8" name="Picture 7" descr="See the source imag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34358" y="599516"/>
          <a:ext cx="3607252" cy="451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44823</xdr:colOff>
      <xdr:row>0</xdr:row>
      <xdr:rowOff>145676</xdr:rowOff>
    </xdr:from>
    <xdr:to>
      <xdr:col>54</xdr:col>
      <xdr:colOff>540123</xdr:colOff>
      <xdr:row>29</xdr:row>
      <xdr:rowOff>133910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3941" y="145676"/>
          <a:ext cx="5941359" cy="6326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514350</xdr:colOff>
      <xdr:row>0</xdr:row>
      <xdr:rowOff>76200</xdr:rowOff>
    </xdr:from>
    <xdr:to>
      <xdr:col>21</xdr:col>
      <xdr:colOff>457200</xdr:colOff>
      <xdr:row>23</xdr:row>
      <xdr:rowOff>57150</xdr:rowOff>
    </xdr:to>
    <xdr:pic>
      <xdr:nvPicPr>
        <xdr:cNvPr id="3" name="Picture 2" descr="See the source imag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76200"/>
          <a:ext cx="4819650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816232</xdr:colOff>
      <xdr:row>9</xdr:row>
      <xdr:rowOff>12221</xdr:rowOff>
    </xdr:from>
    <xdr:to>
      <xdr:col>11</xdr:col>
      <xdr:colOff>358063</xdr:colOff>
      <xdr:row>26</xdr:row>
      <xdr:rowOff>154317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8811" y="1766826"/>
          <a:ext cx="5502476" cy="3380596"/>
        </a:xfrm>
        <a:prstGeom prst="rect">
          <a:avLst/>
        </a:prstGeom>
      </xdr:spPr>
    </xdr:pic>
    <xdr:clientData/>
  </xdr:twoCellAnchor>
  <xdr:twoCellAnchor editAs="oneCell">
    <xdr:from>
      <xdr:col>25</xdr:col>
      <xdr:colOff>28772</xdr:colOff>
      <xdr:row>2</xdr:row>
      <xdr:rowOff>201954</xdr:rowOff>
    </xdr:from>
    <xdr:to>
      <xdr:col>32</xdr:col>
      <xdr:colOff>225003</xdr:colOff>
      <xdr:row>32</xdr:row>
      <xdr:rowOff>51955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4454" y="582954"/>
          <a:ext cx="4439186" cy="5599637"/>
        </a:xfrm>
        <a:prstGeom prst="rect">
          <a:avLst/>
        </a:prstGeom>
      </xdr:spPr>
    </xdr:pic>
    <xdr:clientData/>
  </xdr:twoCellAnchor>
  <xdr:twoCellAnchor editAs="oneCell">
    <xdr:from>
      <xdr:col>5</xdr:col>
      <xdr:colOff>510984</xdr:colOff>
      <xdr:row>1</xdr:row>
      <xdr:rowOff>53373</xdr:rowOff>
    </xdr:from>
    <xdr:to>
      <xdr:col>9</xdr:col>
      <xdr:colOff>890923</xdr:colOff>
      <xdr:row>7</xdr:row>
      <xdr:rowOff>81643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00698" y="243873"/>
          <a:ext cx="3972225" cy="1212091"/>
        </a:xfrm>
        <a:prstGeom prst="rect">
          <a:avLst/>
        </a:prstGeom>
      </xdr:spPr>
    </xdr:pic>
    <xdr:clientData/>
  </xdr:twoCellAnchor>
  <xdr:twoCellAnchor>
    <xdr:from>
      <xdr:col>4</xdr:col>
      <xdr:colOff>405848</xdr:colOff>
      <xdr:row>5</xdr:row>
      <xdr:rowOff>95250</xdr:rowOff>
    </xdr:from>
    <xdr:to>
      <xdr:col>5</xdr:col>
      <xdr:colOff>435429</xdr:colOff>
      <xdr:row>7</xdr:row>
      <xdr:rowOff>107674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4474384" y="1088571"/>
          <a:ext cx="750759" cy="3934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10026</xdr:colOff>
      <xdr:row>14</xdr:row>
      <xdr:rowOff>132132</xdr:rowOff>
    </xdr:from>
    <xdr:to>
      <xdr:col>7</xdr:col>
      <xdr:colOff>10026</xdr:colOff>
      <xdr:row>17</xdr:row>
      <xdr:rowOff>115803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6802855" y="2839237"/>
          <a:ext cx="0" cy="55517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608023</xdr:colOff>
      <xdr:row>17</xdr:row>
      <xdr:rowOff>99474</xdr:rowOff>
    </xdr:from>
    <xdr:to>
      <xdr:col>9</xdr:col>
      <xdr:colOff>1087855</xdr:colOff>
      <xdr:row>17</xdr:row>
      <xdr:rowOff>99474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6789247" y="3378079"/>
          <a:ext cx="2685621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1271652</xdr:colOff>
      <xdr:row>0</xdr:row>
      <xdr:rowOff>122464</xdr:rowOff>
    </xdr:from>
    <xdr:to>
      <xdr:col>14</xdr:col>
      <xdr:colOff>228110</xdr:colOff>
      <xdr:row>9</xdr:row>
      <xdr:rowOff>27214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53652" y="122464"/>
          <a:ext cx="3676776" cy="1660071"/>
        </a:xfrm>
        <a:prstGeom prst="rect">
          <a:avLst/>
        </a:prstGeom>
      </xdr:spPr>
    </xdr:pic>
    <xdr:clientData/>
  </xdr:twoCellAnchor>
  <xdr:twoCellAnchor>
    <xdr:from>
      <xdr:col>9</xdr:col>
      <xdr:colOff>1078793</xdr:colOff>
      <xdr:row>17</xdr:row>
      <xdr:rowOff>87228</xdr:rowOff>
    </xdr:from>
    <xdr:to>
      <xdr:col>9</xdr:col>
      <xdr:colOff>1078793</xdr:colOff>
      <xdr:row>23</xdr:row>
      <xdr:rowOff>148095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>
          <a:off x="9465806" y="3365833"/>
          <a:ext cx="0" cy="120386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641827</xdr:colOff>
      <xdr:row>23</xdr:row>
      <xdr:rowOff>151819</xdr:rowOff>
    </xdr:from>
    <xdr:to>
      <xdr:col>9</xdr:col>
      <xdr:colOff>1083870</xdr:colOff>
      <xdr:row>23</xdr:row>
      <xdr:rowOff>151819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 flipH="1">
          <a:off x="9028840" y="4573424"/>
          <a:ext cx="442043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20</xdr:row>
          <xdr:rowOff>0</xdr:rowOff>
        </xdr:from>
        <xdr:to>
          <xdr:col>2</xdr:col>
          <xdr:colOff>323850</xdr:colOff>
          <xdr:row>24</xdr:row>
          <xdr:rowOff>47625</xdr:rowOff>
        </xdr:to>
        <xdr:sp macro="" textlink="">
          <xdr:nvSpPr>
            <xdr:cNvPr id="6145" name="Object 4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</xdr:colOff>
      <xdr:row>24</xdr:row>
      <xdr:rowOff>47064</xdr:rowOff>
    </xdr:from>
    <xdr:to>
      <xdr:col>4</xdr:col>
      <xdr:colOff>256761</xdr:colOff>
      <xdr:row>30</xdr:row>
      <xdr:rowOff>108323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Grp="1" noChangeArrowheads="1"/>
        </xdr:cNvSpPr>
      </xdr:nvSpPr>
      <xdr:spPr bwMode="auto">
        <a:xfrm>
          <a:off x="612914" y="4660477"/>
          <a:ext cx="3279912" cy="1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lvl1pPr marL="273050" indent="-273050" algn="l" rtl="0" eaLnBrk="0" fontAlgn="base" hangingPunct="0">
            <a:spcBef>
              <a:spcPts val="575"/>
            </a:spcBef>
            <a:spcAft>
              <a:spcPct val="0"/>
            </a:spcAft>
            <a:buClr>
              <a:schemeClr val="accent1"/>
            </a:buClr>
            <a:buSzPct val="85000"/>
            <a:buFont typeface="Wingdings 2" pitchFamily="18" charset="2"/>
            <a:buChar char=""/>
            <a:defRPr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7688" indent="-228600" algn="l" rtl="0" eaLnBrk="0" fontAlgn="base" hangingPunct="0">
            <a:spcBef>
              <a:spcPts val="375"/>
            </a:spcBef>
            <a:spcAft>
              <a:spcPct val="0"/>
            </a:spcAft>
            <a:buClr>
              <a:schemeClr val="accent2"/>
            </a:buClr>
            <a:buSzPct val="85000"/>
            <a:buFont typeface="Wingdings 2" pitchFamily="18" charset="2"/>
            <a:buChar char=""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822325" indent="-228600" algn="l" rtl="0" eaLnBrk="0" fontAlgn="base" hangingPunct="0">
            <a:spcBef>
              <a:spcPts val="375"/>
            </a:spcBef>
            <a:spcAft>
              <a:spcPct val="0"/>
            </a:spcAft>
            <a:buClr>
              <a:srgbClr val="E6B1AB"/>
            </a:buClr>
            <a:buSzPct val="85000"/>
            <a:buFont typeface="Wingdings 2" pitchFamily="18" charset="2"/>
            <a:buChar char="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096963" indent="-228600" algn="l" rtl="0" eaLnBrk="0" fontAlgn="base" hangingPunct="0">
            <a:spcBef>
              <a:spcPts val="375"/>
            </a:spcBef>
            <a:spcAft>
              <a:spcPct val="0"/>
            </a:spcAft>
            <a:buClr>
              <a:srgbClr val="A28E6A"/>
            </a:buClr>
            <a:buSzPct val="80000"/>
            <a:buFont typeface="Wingdings 2" pitchFamily="18" charset="2"/>
            <a:buChar char="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371600" indent="-228600" algn="l" rtl="0" eaLnBrk="0" fontAlgn="base" hangingPunct="0">
            <a:spcBef>
              <a:spcPts val="375"/>
            </a:spcBef>
            <a:spcAft>
              <a:spcPct val="0"/>
            </a:spcAft>
            <a:buClr>
              <a:srgbClr val="A28E6A"/>
            </a:buClr>
            <a:buChar char="o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645920" indent="-228600" algn="l" rtl="0" eaLnBrk="1" latinLnBrk="0" hangingPunct="1">
            <a:spcBef>
              <a:spcPts val="370"/>
            </a:spcBef>
            <a:buClr>
              <a:schemeClr val="accent3"/>
            </a:buClr>
            <a:buChar char="•"/>
            <a:defRPr kumimoji="0" sz="1800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920240" indent="-228600" algn="l" rtl="0" eaLnBrk="1" latinLnBrk="0" hangingPunct="1">
            <a:spcBef>
              <a:spcPts val="370"/>
            </a:spcBef>
            <a:buClr>
              <a:schemeClr val="accent2"/>
            </a:buClr>
            <a:buChar char="•"/>
            <a:defRPr kumimoji="0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194560" indent="-228600" algn="l" rtl="0" eaLnBrk="1" latinLnBrk="0" hangingPunct="1">
            <a:spcBef>
              <a:spcPts val="370"/>
            </a:spcBef>
            <a:buClr>
              <a:schemeClr val="accent1">
                <a:tint val="60000"/>
              </a:schemeClr>
            </a:buClr>
            <a:buChar char="•"/>
            <a:defRPr kumimoji="0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468880" indent="-228600" algn="l" rtl="0" eaLnBrk="1" latinLnBrk="0" hangingPunct="1">
            <a:spcBef>
              <a:spcPts val="370"/>
            </a:spcBef>
            <a:buClr>
              <a:schemeClr val="accent2">
                <a:tint val="60000"/>
              </a:schemeClr>
            </a:buClr>
            <a:buChar char="•"/>
            <a:defRPr kumimoji="0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eaLnBrk="1" hangingPunct="1">
            <a:buFont typeface="Wingdings 2" pitchFamily="18" charset="2"/>
            <a:buNone/>
          </a:pPr>
          <a:r>
            <a:rPr lang="en-US" sz="900"/>
            <a:t>R   : erosivitas hujan</a:t>
          </a:r>
        </a:p>
        <a:p>
          <a:pPr eaLnBrk="1" hangingPunct="1">
            <a:buFont typeface="Wingdings 2" pitchFamily="18" charset="2"/>
            <a:buNone/>
          </a:pPr>
          <a:r>
            <a:rPr lang="en-US" sz="900"/>
            <a:t>Ri  : curah hujan bulan ke i (cm)</a:t>
          </a:r>
        </a:p>
        <a:p>
          <a:pPr eaLnBrk="1" hangingPunct="1">
            <a:buFont typeface="Wingdings 2" pitchFamily="18" charset="2"/>
            <a:buNone/>
          </a:pPr>
          <a:endParaRPr lang="en-US" sz="400"/>
        </a:p>
        <a:p>
          <a:pPr eaLnBrk="1" hangingPunct="1">
            <a:buFont typeface="Wingdings 2" pitchFamily="18" charset="2"/>
            <a:buNone/>
          </a:pPr>
          <a:r>
            <a:rPr lang="en-US" sz="900"/>
            <a:t>Catatan: erosivitas hujan ini oleh Wischmeier didefinisikan      </a:t>
          </a:r>
        </a:p>
        <a:p>
          <a:pPr eaLnBrk="1" hangingPunct="1">
            <a:buFont typeface="Wingdings 2" pitchFamily="18" charset="2"/>
            <a:buNone/>
          </a:pPr>
          <a:r>
            <a:rPr lang="en-US" sz="900"/>
            <a:t>               sebagai fungsi dari energi kinetik hujan dengan </a:t>
          </a:r>
        </a:p>
        <a:p>
          <a:pPr eaLnBrk="1" hangingPunct="1">
            <a:buFont typeface="Wingdings 2" pitchFamily="18" charset="2"/>
            <a:buNone/>
          </a:pPr>
          <a:r>
            <a:rPr lang="en-US" sz="900"/>
            <a:t>               intensitas 30 menit (EI 30).</a:t>
          </a:r>
        </a:p>
      </xdr:txBody>
    </xdr:sp>
    <xdr:clientData/>
  </xdr:twoCellAnchor>
  <xdr:twoCellAnchor>
    <xdr:from>
      <xdr:col>1</xdr:col>
      <xdr:colOff>19050</xdr:colOff>
      <xdr:row>36</xdr:row>
      <xdr:rowOff>152401</xdr:rowOff>
    </xdr:from>
    <xdr:to>
      <xdr:col>7</xdr:col>
      <xdr:colOff>104775</xdr:colOff>
      <xdr:row>76</xdr:row>
      <xdr:rowOff>133350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73" t="3491" r="5339" b="2359"/>
        <a:stretch>
          <a:fillRect/>
        </a:stretch>
      </xdr:blipFill>
      <xdr:spPr bwMode="auto">
        <a:xfrm>
          <a:off x="628650" y="7048501"/>
          <a:ext cx="4933950" cy="7658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7</xdr:col>
      <xdr:colOff>180975</xdr:colOff>
      <xdr:row>124</xdr:row>
      <xdr:rowOff>57150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3780" r="5075" b="2274"/>
        <a:stretch>
          <a:fillRect/>
        </a:stretch>
      </xdr:blipFill>
      <xdr:spPr bwMode="auto">
        <a:xfrm>
          <a:off x="609600" y="16106775"/>
          <a:ext cx="5029200" cy="767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1014412</xdr:colOff>
      <xdr:row>177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805487" y="34528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id-ID" sz="1100"/>
        </a:p>
      </xdr:txBody>
    </xdr:sp>
    <xdr:clientData/>
  </xdr:oneCellAnchor>
  <xdr:twoCellAnchor>
    <xdr:from>
      <xdr:col>4</xdr:col>
      <xdr:colOff>231677</xdr:colOff>
      <xdr:row>3</xdr:row>
      <xdr:rowOff>176893</xdr:rowOff>
    </xdr:from>
    <xdr:to>
      <xdr:col>9</xdr:col>
      <xdr:colOff>1265464</xdr:colOff>
      <xdr:row>8</xdr:row>
      <xdr:rowOff>151218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 flipV="1">
          <a:off x="4300213" y="789214"/>
          <a:ext cx="5347251" cy="926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1160546</xdr:colOff>
      <xdr:row>14</xdr:row>
      <xdr:rowOff>134853</xdr:rowOff>
    </xdr:from>
    <xdr:to>
      <xdr:col>7</xdr:col>
      <xdr:colOff>19551</xdr:colOff>
      <xdr:row>14</xdr:row>
      <xdr:rowOff>134853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5953125" y="2841958"/>
          <a:ext cx="85925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545E-EA42-46F9-8F54-E372B4DB8994}">
  <dimension ref="A1:AG401"/>
  <sheetViews>
    <sheetView topLeftCell="L381" workbookViewId="0">
      <selection activeCell="AB395" sqref="AB395"/>
    </sheetView>
  </sheetViews>
  <sheetFormatPr defaultRowHeight="15" x14ac:dyDescent="0.25"/>
  <cols>
    <col min="1" max="1" width="9.140625" style="1"/>
    <col min="2" max="2" width="16.85546875" style="1" customWidth="1"/>
    <col min="3" max="13" width="9.140625" style="237"/>
    <col min="14" max="17" width="9.140625" style="1"/>
    <col min="18" max="18" width="18.28515625" style="1" customWidth="1"/>
    <col min="19" max="22" width="9.140625" style="1"/>
    <col min="23" max="23" width="13.7109375" style="1" customWidth="1"/>
    <col min="24" max="16384" width="9.140625" style="1"/>
  </cols>
  <sheetData>
    <row r="1" spans="1:23" x14ac:dyDescent="0.25">
      <c r="A1" s="1" t="s">
        <v>20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3" x14ac:dyDescent="0.25"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1" t="s">
        <v>15</v>
      </c>
    </row>
    <row r="3" spans="1:23" ht="15.75" thickBot="1" x14ac:dyDescent="0.3">
      <c r="B3" s="1" t="s">
        <v>14</v>
      </c>
      <c r="C3" s="2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T3" s="1">
        <v>10</v>
      </c>
    </row>
    <row r="4" spans="1:23" ht="15.75" thickBot="1" x14ac:dyDescent="0.3">
      <c r="B4" s="356" t="s">
        <v>0</v>
      </c>
      <c r="C4" s="353" t="s">
        <v>7</v>
      </c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5"/>
      <c r="O4" s="239"/>
      <c r="P4" s="240"/>
      <c r="Q4" s="21"/>
      <c r="T4" s="1">
        <v>2.21</v>
      </c>
    </row>
    <row r="5" spans="1:23" ht="15.75" thickBot="1" x14ac:dyDescent="0.3">
      <c r="B5" s="348"/>
      <c r="C5" s="241" t="s">
        <v>1</v>
      </c>
      <c r="D5" s="242" t="s">
        <v>2</v>
      </c>
      <c r="E5" s="242" t="s">
        <v>3</v>
      </c>
      <c r="F5" s="243" t="s">
        <v>4</v>
      </c>
      <c r="G5" s="243" t="s">
        <v>5</v>
      </c>
      <c r="H5" s="243" t="s">
        <v>6</v>
      </c>
      <c r="I5" s="243" t="s">
        <v>8</v>
      </c>
      <c r="J5" s="243" t="s">
        <v>9</v>
      </c>
      <c r="K5" s="243" t="s">
        <v>10</v>
      </c>
      <c r="L5" s="243" t="s">
        <v>11</v>
      </c>
      <c r="M5" s="243" t="s">
        <v>12</v>
      </c>
      <c r="N5" s="52" t="s">
        <v>13</v>
      </c>
      <c r="T5" s="1">
        <v>1.36</v>
      </c>
    </row>
    <row r="6" spans="1:23" x14ac:dyDescent="0.25">
      <c r="B6" s="244">
        <v>1</v>
      </c>
      <c r="C6" s="245">
        <v>0</v>
      </c>
      <c r="D6" s="246">
        <v>25</v>
      </c>
      <c r="E6" s="246">
        <v>0</v>
      </c>
      <c r="F6" s="246">
        <v>0</v>
      </c>
      <c r="G6" s="246">
        <v>0</v>
      </c>
      <c r="H6" s="247">
        <v>0</v>
      </c>
      <c r="I6" s="247">
        <v>0</v>
      </c>
      <c r="J6" s="246">
        <v>0</v>
      </c>
      <c r="K6" s="246">
        <v>0</v>
      </c>
      <c r="L6" s="246">
        <v>0</v>
      </c>
      <c r="M6" s="246">
        <v>0</v>
      </c>
      <c r="N6" s="248">
        <v>0</v>
      </c>
    </row>
    <row r="7" spans="1:23" x14ac:dyDescent="0.25">
      <c r="B7" s="244">
        <v>2</v>
      </c>
      <c r="C7" s="245">
        <v>0</v>
      </c>
      <c r="D7" s="246">
        <v>60</v>
      </c>
      <c r="E7" s="246">
        <v>0</v>
      </c>
      <c r="F7" s="246">
        <v>0</v>
      </c>
      <c r="G7" s="246">
        <v>0</v>
      </c>
      <c r="H7" s="246">
        <v>0</v>
      </c>
      <c r="I7" s="246">
        <v>0</v>
      </c>
      <c r="J7" s="246">
        <v>0</v>
      </c>
      <c r="K7" s="246">
        <v>0</v>
      </c>
      <c r="L7" s="246">
        <v>0</v>
      </c>
      <c r="M7" s="246">
        <v>0</v>
      </c>
      <c r="N7" s="248">
        <v>0</v>
      </c>
    </row>
    <row r="8" spans="1:23" x14ac:dyDescent="0.25">
      <c r="B8" s="244">
        <v>3</v>
      </c>
      <c r="C8" s="245">
        <v>15</v>
      </c>
      <c r="D8" s="246">
        <v>0</v>
      </c>
      <c r="E8" s="246">
        <v>0</v>
      </c>
      <c r="F8" s="246">
        <v>0</v>
      </c>
      <c r="G8" s="246">
        <v>60</v>
      </c>
      <c r="H8" s="246">
        <v>0</v>
      </c>
      <c r="I8" s="246">
        <v>19</v>
      </c>
      <c r="J8" s="246">
        <v>0</v>
      </c>
      <c r="K8" s="246">
        <v>0</v>
      </c>
      <c r="L8" s="246">
        <v>0</v>
      </c>
      <c r="M8" s="246">
        <v>0</v>
      </c>
      <c r="N8" s="248">
        <v>0</v>
      </c>
    </row>
    <row r="9" spans="1:23" x14ac:dyDescent="0.25">
      <c r="B9" s="244">
        <v>4</v>
      </c>
      <c r="C9" s="245">
        <v>9</v>
      </c>
      <c r="D9" s="246">
        <v>0</v>
      </c>
      <c r="E9" s="246">
        <v>0</v>
      </c>
      <c r="F9" s="246">
        <v>0</v>
      </c>
      <c r="G9" s="246">
        <v>5</v>
      </c>
      <c r="H9" s="246">
        <v>0</v>
      </c>
      <c r="I9" s="246">
        <v>0</v>
      </c>
      <c r="J9" s="246">
        <v>88</v>
      </c>
      <c r="K9" s="246">
        <v>0</v>
      </c>
      <c r="L9" s="246">
        <v>0</v>
      </c>
      <c r="M9" s="246">
        <v>0</v>
      </c>
      <c r="N9" s="248">
        <v>9</v>
      </c>
    </row>
    <row r="10" spans="1:23" x14ac:dyDescent="0.25">
      <c r="B10" s="244">
        <v>5</v>
      </c>
      <c r="C10" s="245">
        <v>0</v>
      </c>
      <c r="D10" s="246">
        <v>0</v>
      </c>
      <c r="E10" s="246">
        <v>9</v>
      </c>
      <c r="F10" s="246">
        <v>0</v>
      </c>
      <c r="G10" s="246">
        <v>23</v>
      </c>
      <c r="H10" s="246">
        <v>0</v>
      </c>
      <c r="I10" s="246">
        <v>0</v>
      </c>
      <c r="J10" s="246">
        <v>0</v>
      </c>
      <c r="K10" s="246">
        <v>41</v>
      </c>
      <c r="L10" s="246">
        <v>0</v>
      </c>
      <c r="M10" s="246">
        <v>0</v>
      </c>
      <c r="N10" s="248">
        <v>10</v>
      </c>
    </row>
    <row r="11" spans="1:23" x14ac:dyDescent="0.25">
      <c r="B11" s="244">
        <v>6</v>
      </c>
      <c r="C11" s="245">
        <v>18</v>
      </c>
      <c r="D11" s="246">
        <v>5</v>
      </c>
      <c r="E11" s="246">
        <v>0</v>
      </c>
      <c r="F11" s="246">
        <v>0</v>
      </c>
      <c r="G11" s="246">
        <v>9</v>
      </c>
      <c r="H11" s="246">
        <v>67</v>
      </c>
      <c r="I11" s="246">
        <v>0</v>
      </c>
      <c r="J11" s="246">
        <v>0</v>
      </c>
      <c r="K11" s="246">
        <v>0</v>
      </c>
      <c r="L11" s="246">
        <v>0</v>
      </c>
      <c r="M11" s="246">
        <v>4</v>
      </c>
      <c r="N11" s="248">
        <v>15</v>
      </c>
    </row>
    <row r="12" spans="1:23" x14ac:dyDescent="0.25">
      <c r="B12" s="244">
        <v>7</v>
      </c>
      <c r="C12" s="245">
        <v>39</v>
      </c>
      <c r="D12" s="246">
        <v>55</v>
      </c>
      <c r="E12" s="246">
        <v>0</v>
      </c>
      <c r="F12" s="246">
        <v>25</v>
      </c>
      <c r="G12" s="246">
        <v>0</v>
      </c>
      <c r="H12" s="246">
        <v>0</v>
      </c>
      <c r="I12" s="246">
        <v>0</v>
      </c>
      <c r="J12" s="246">
        <v>0</v>
      </c>
      <c r="K12" s="246">
        <v>0</v>
      </c>
      <c r="L12" s="246">
        <v>4</v>
      </c>
      <c r="M12" s="246">
        <v>19</v>
      </c>
      <c r="N12" s="248">
        <v>0</v>
      </c>
    </row>
    <row r="13" spans="1:23" x14ac:dyDescent="0.25">
      <c r="B13" s="244">
        <v>8</v>
      </c>
      <c r="C13" s="245">
        <v>0</v>
      </c>
      <c r="D13" s="246">
        <v>0</v>
      </c>
      <c r="E13" s="246">
        <v>0</v>
      </c>
      <c r="F13" s="246">
        <v>0</v>
      </c>
      <c r="G13" s="246">
        <v>19</v>
      </c>
      <c r="H13" s="246">
        <v>0</v>
      </c>
      <c r="I13" s="246">
        <v>0</v>
      </c>
      <c r="J13" s="246">
        <v>0</v>
      </c>
      <c r="K13" s="246">
        <v>0</v>
      </c>
      <c r="L13" s="246">
        <v>0</v>
      </c>
      <c r="M13" s="246">
        <v>4</v>
      </c>
      <c r="N13" s="248">
        <v>15</v>
      </c>
    </row>
    <row r="14" spans="1:23" x14ac:dyDescent="0.25">
      <c r="B14" s="244">
        <v>9</v>
      </c>
      <c r="C14" s="245">
        <v>0</v>
      </c>
      <c r="D14" s="246">
        <v>15</v>
      </c>
      <c r="E14" s="246">
        <v>0</v>
      </c>
      <c r="F14" s="246">
        <v>0</v>
      </c>
      <c r="G14" s="246">
        <v>0</v>
      </c>
      <c r="H14" s="246">
        <v>32</v>
      </c>
      <c r="I14" s="246">
        <v>0</v>
      </c>
      <c r="J14" s="246">
        <v>0</v>
      </c>
      <c r="K14" s="246">
        <v>0</v>
      </c>
      <c r="L14" s="246">
        <v>6</v>
      </c>
      <c r="M14" s="246">
        <v>64</v>
      </c>
      <c r="N14" s="248">
        <v>0</v>
      </c>
    </row>
    <row r="15" spans="1:23" x14ac:dyDescent="0.25">
      <c r="B15" s="244">
        <v>10</v>
      </c>
      <c r="C15" s="245">
        <v>45</v>
      </c>
      <c r="D15" s="246">
        <v>0</v>
      </c>
      <c r="E15" s="246">
        <v>88</v>
      </c>
      <c r="F15" s="246">
        <v>0</v>
      </c>
      <c r="G15" s="246">
        <v>0</v>
      </c>
      <c r="H15" s="246">
        <v>0</v>
      </c>
      <c r="I15" s="246">
        <v>0</v>
      </c>
      <c r="J15" s="246">
        <v>0</v>
      </c>
      <c r="K15" s="246">
        <v>0</v>
      </c>
      <c r="L15" s="246">
        <v>0</v>
      </c>
      <c r="M15" s="246">
        <v>53</v>
      </c>
      <c r="N15" s="248">
        <v>74</v>
      </c>
    </row>
    <row r="16" spans="1:23" x14ac:dyDescent="0.25">
      <c r="B16" s="244">
        <v>11</v>
      </c>
      <c r="C16" s="245">
        <v>0</v>
      </c>
      <c r="D16" s="246">
        <v>0</v>
      </c>
      <c r="E16" s="246">
        <v>5</v>
      </c>
      <c r="F16" s="246">
        <v>0</v>
      </c>
      <c r="G16" s="246">
        <v>0</v>
      </c>
      <c r="H16" s="246">
        <v>0</v>
      </c>
      <c r="I16" s="246">
        <v>0</v>
      </c>
      <c r="J16" s="246">
        <v>0</v>
      </c>
      <c r="K16" s="246">
        <v>0</v>
      </c>
      <c r="L16" s="246">
        <v>0</v>
      </c>
      <c r="M16" s="246">
        <v>0</v>
      </c>
      <c r="N16" s="248">
        <v>5</v>
      </c>
      <c r="V16" s="405"/>
      <c r="W16" s="405"/>
    </row>
    <row r="17" spans="2:23" x14ac:dyDescent="0.25">
      <c r="B17" s="244">
        <v>12</v>
      </c>
      <c r="C17" s="245">
        <v>0</v>
      </c>
      <c r="D17" s="246">
        <v>0</v>
      </c>
      <c r="E17" s="246">
        <v>16</v>
      </c>
      <c r="F17" s="246">
        <v>0</v>
      </c>
      <c r="G17" s="246">
        <v>25</v>
      </c>
      <c r="H17" s="246">
        <v>0</v>
      </c>
      <c r="I17" s="246">
        <v>0</v>
      </c>
      <c r="J17" s="246">
        <v>0</v>
      </c>
      <c r="K17" s="246">
        <v>0</v>
      </c>
      <c r="L17" s="246">
        <v>0</v>
      </c>
      <c r="M17" s="246">
        <v>0</v>
      </c>
      <c r="N17" s="248">
        <v>0</v>
      </c>
      <c r="Q17" s="232" t="s">
        <v>32</v>
      </c>
      <c r="R17" s="232" t="s">
        <v>141</v>
      </c>
      <c r="V17" s="406"/>
      <c r="W17" s="407"/>
    </row>
    <row r="18" spans="2:23" x14ac:dyDescent="0.25">
      <c r="B18" s="244">
        <v>13</v>
      </c>
      <c r="C18" s="245">
        <v>0</v>
      </c>
      <c r="D18" s="246">
        <v>35</v>
      </c>
      <c r="E18" s="246">
        <v>0</v>
      </c>
      <c r="F18" s="246">
        <v>0</v>
      </c>
      <c r="G18" s="246">
        <v>0</v>
      </c>
      <c r="H18" s="246">
        <v>0</v>
      </c>
      <c r="I18" s="246">
        <v>0</v>
      </c>
      <c r="J18" s="246">
        <v>0</v>
      </c>
      <c r="K18" s="246">
        <v>0</v>
      </c>
      <c r="L18" s="246">
        <v>0</v>
      </c>
      <c r="M18" s="246">
        <v>0</v>
      </c>
      <c r="N18" s="248">
        <v>0</v>
      </c>
      <c r="Q18" s="249">
        <v>2010</v>
      </c>
      <c r="R18" s="233">
        <f>C40</f>
        <v>2078.6386398837349</v>
      </c>
      <c r="V18" s="406"/>
      <c r="W18" s="407"/>
    </row>
    <row r="19" spans="2:23" x14ac:dyDescent="0.25">
      <c r="B19" s="244">
        <v>14</v>
      </c>
      <c r="C19" s="245">
        <v>38</v>
      </c>
      <c r="D19" s="246">
        <v>0</v>
      </c>
      <c r="E19" s="246">
        <v>0</v>
      </c>
      <c r="F19" s="246">
        <v>6</v>
      </c>
      <c r="G19" s="246">
        <v>5</v>
      </c>
      <c r="H19" s="246">
        <v>0</v>
      </c>
      <c r="I19" s="246">
        <v>3</v>
      </c>
      <c r="J19" s="246">
        <v>0</v>
      </c>
      <c r="K19" s="246">
        <v>21</v>
      </c>
      <c r="L19" s="246">
        <v>0</v>
      </c>
      <c r="M19" s="246">
        <v>0</v>
      </c>
      <c r="N19" s="248">
        <v>0</v>
      </c>
      <c r="Q19" s="249">
        <v>2011</v>
      </c>
      <c r="R19" s="233">
        <f>C80</f>
        <v>1196.8013376334907</v>
      </c>
      <c r="V19" s="406"/>
      <c r="W19" s="407"/>
    </row>
    <row r="20" spans="2:23" x14ac:dyDescent="0.25">
      <c r="B20" s="244">
        <v>15</v>
      </c>
      <c r="C20" s="245">
        <v>19</v>
      </c>
      <c r="D20" s="246">
        <v>25</v>
      </c>
      <c r="E20" s="246">
        <v>47</v>
      </c>
      <c r="F20" s="246">
        <v>0</v>
      </c>
      <c r="G20" s="246">
        <v>9</v>
      </c>
      <c r="H20" s="246">
        <v>0</v>
      </c>
      <c r="I20" s="246">
        <v>0</v>
      </c>
      <c r="J20" s="246">
        <v>0</v>
      </c>
      <c r="K20" s="246">
        <v>0</v>
      </c>
      <c r="L20" s="246">
        <v>40</v>
      </c>
      <c r="M20" s="246">
        <v>0</v>
      </c>
      <c r="N20" s="248">
        <v>0</v>
      </c>
      <c r="Q20" s="249">
        <v>2012</v>
      </c>
      <c r="R20" s="233">
        <f>C120</f>
        <v>1450.2165810272706</v>
      </c>
      <c r="V20" s="406"/>
      <c r="W20" s="407"/>
    </row>
    <row r="21" spans="2:23" x14ac:dyDescent="0.25">
      <c r="B21" s="244">
        <v>16</v>
      </c>
      <c r="C21" s="245">
        <v>0</v>
      </c>
      <c r="D21" s="246">
        <v>0</v>
      </c>
      <c r="E21" s="246">
        <v>72</v>
      </c>
      <c r="F21" s="246">
        <v>0</v>
      </c>
      <c r="G21" s="246">
        <v>45</v>
      </c>
      <c r="H21" s="246">
        <v>0</v>
      </c>
      <c r="I21" s="246">
        <v>5</v>
      </c>
      <c r="J21" s="246">
        <v>0</v>
      </c>
      <c r="K21" s="246">
        <v>0</v>
      </c>
      <c r="L21" s="246">
        <v>0</v>
      </c>
      <c r="M21" s="246">
        <v>0</v>
      </c>
      <c r="N21" s="248">
        <v>0</v>
      </c>
      <c r="Q21" s="249">
        <v>2013</v>
      </c>
      <c r="R21" s="233">
        <f>C160</f>
        <v>1782.5582588051943</v>
      </c>
      <c r="V21" s="406"/>
      <c r="W21" s="407"/>
    </row>
    <row r="22" spans="2:23" x14ac:dyDescent="0.25">
      <c r="B22" s="244">
        <v>17</v>
      </c>
      <c r="C22" s="245">
        <v>16</v>
      </c>
      <c r="D22" s="246">
        <v>55</v>
      </c>
      <c r="E22" s="246">
        <v>0</v>
      </c>
      <c r="F22" s="246">
        <v>66</v>
      </c>
      <c r="G22" s="246">
        <v>15</v>
      </c>
      <c r="H22" s="246">
        <v>0</v>
      </c>
      <c r="I22" s="246">
        <v>0</v>
      </c>
      <c r="J22" s="246">
        <v>0</v>
      </c>
      <c r="K22" s="246">
        <v>13</v>
      </c>
      <c r="L22" s="246">
        <v>0</v>
      </c>
      <c r="M22" s="246">
        <v>0</v>
      </c>
      <c r="N22" s="248">
        <v>0</v>
      </c>
      <c r="Q22" s="249">
        <v>2014</v>
      </c>
      <c r="R22" s="233">
        <f>C200</f>
        <v>1182.2421883815878</v>
      </c>
      <c r="V22" s="406"/>
      <c r="W22" s="407"/>
    </row>
    <row r="23" spans="2:23" x14ac:dyDescent="0.25">
      <c r="B23" s="244">
        <v>18</v>
      </c>
      <c r="C23" s="245">
        <v>67</v>
      </c>
      <c r="D23" s="246">
        <v>0</v>
      </c>
      <c r="E23" s="246">
        <v>26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0</v>
      </c>
      <c r="M23" s="246">
        <v>0</v>
      </c>
      <c r="N23" s="248">
        <v>0</v>
      </c>
      <c r="Q23" s="249">
        <v>2015</v>
      </c>
      <c r="R23" s="233">
        <f>C240</f>
        <v>762.20222367137342</v>
      </c>
      <c r="V23" s="406"/>
      <c r="W23" s="407"/>
    </row>
    <row r="24" spans="2:23" x14ac:dyDescent="0.25">
      <c r="B24" s="244">
        <v>19</v>
      </c>
      <c r="C24" s="245">
        <v>49</v>
      </c>
      <c r="D24" s="246">
        <v>0</v>
      </c>
      <c r="E24" s="246">
        <v>0</v>
      </c>
      <c r="F24" s="246">
        <v>0</v>
      </c>
      <c r="G24" s="246">
        <v>0</v>
      </c>
      <c r="H24" s="246">
        <v>0</v>
      </c>
      <c r="I24" s="246">
        <v>0</v>
      </c>
      <c r="J24" s="246">
        <v>0</v>
      </c>
      <c r="K24" s="246">
        <v>0</v>
      </c>
      <c r="L24" s="246">
        <v>35</v>
      </c>
      <c r="M24" s="246">
        <v>0</v>
      </c>
      <c r="N24" s="248">
        <v>0</v>
      </c>
      <c r="Q24" s="249">
        <v>2016</v>
      </c>
      <c r="R24" s="233">
        <f>C280</f>
        <v>1510.0607766863172</v>
      </c>
      <c r="V24" s="406"/>
      <c r="W24" s="407"/>
    </row>
    <row r="25" spans="2:23" x14ac:dyDescent="0.25">
      <c r="B25" s="244">
        <v>20</v>
      </c>
      <c r="C25" s="245">
        <v>9</v>
      </c>
      <c r="D25" s="246">
        <v>23</v>
      </c>
      <c r="E25" s="246">
        <v>0</v>
      </c>
      <c r="F25" s="246">
        <v>0</v>
      </c>
      <c r="G25" s="246">
        <v>0</v>
      </c>
      <c r="H25" s="246">
        <v>0</v>
      </c>
      <c r="I25" s="246">
        <v>0</v>
      </c>
      <c r="J25" s="246">
        <v>0</v>
      </c>
      <c r="K25" s="246">
        <v>19</v>
      </c>
      <c r="L25" s="246">
        <v>28</v>
      </c>
      <c r="M25" s="246">
        <v>0</v>
      </c>
      <c r="N25" s="248">
        <v>9</v>
      </c>
      <c r="Q25" s="249">
        <v>2017</v>
      </c>
      <c r="R25" s="233">
        <f>C320</f>
        <v>2447.0938944074501</v>
      </c>
      <c r="V25" s="406"/>
      <c r="W25" s="407"/>
    </row>
    <row r="26" spans="2:23" x14ac:dyDescent="0.25">
      <c r="B26" s="244">
        <v>21</v>
      </c>
      <c r="C26" s="245">
        <v>7</v>
      </c>
      <c r="D26" s="246">
        <v>0</v>
      </c>
      <c r="E26" s="246">
        <v>62</v>
      </c>
      <c r="F26" s="246">
        <v>12</v>
      </c>
      <c r="G26" s="246">
        <v>0</v>
      </c>
      <c r="H26" s="246">
        <v>0</v>
      </c>
      <c r="I26" s="246">
        <v>0</v>
      </c>
      <c r="J26" s="246">
        <v>0</v>
      </c>
      <c r="K26" s="246">
        <v>14</v>
      </c>
      <c r="L26" s="246">
        <v>0</v>
      </c>
      <c r="M26" s="246">
        <v>0</v>
      </c>
      <c r="N26" s="248">
        <v>49</v>
      </c>
      <c r="Q26" s="249">
        <v>2018</v>
      </c>
      <c r="R26" s="233">
        <f>C360</f>
        <v>868.33624367341793</v>
      </c>
      <c r="V26" s="406"/>
      <c r="W26" s="407"/>
    </row>
    <row r="27" spans="2:23" x14ac:dyDescent="0.25">
      <c r="B27" s="244">
        <v>22</v>
      </c>
      <c r="C27" s="245">
        <v>0</v>
      </c>
      <c r="D27" s="246">
        <v>54</v>
      </c>
      <c r="E27" s="246">
        <v>0</v>
      </c>
      <c r="F27" s="246">
        <v>0</v>
      </c>
      <c r="G27" s="246">
        <v>0</v>
      </c>
      <c r="H27" s="246">
        <v>0</v>
      </c>
      <c r="I27" s="246">
        <v>0</v>
      </c>
      <c r="J27" s="246">
        <v>0</v>
      </c>
      <c r="K27" s="246">
        <v>0</v>
      </c>
      <c r="L27" s="246">
        <v>0</v>
      </c>
      <c r="M27" s="246">
        <v>14</v>
      </c>
      <c r="N27" s="248">
        <v>0</v>
      </c>
      <c r="Q27" s="249">
        <v>2019</v>
      </c>
      <c r="R27" s="233">
        <f>C400</f>
        <v>1487.1459880755885</v>
      </c>
    </row>
    <row r="28" spans="2:23" x14ac:dyDescent="0.25">
      <c r="B28" s="244">
        <v>23</v>
      </c>
      <c r="C28" s="245">
        <v>9</v>
      </c>
      <c r="D28" s="246">
        <v>0</v>
      </c>
      <c r="E28" s="246">
        <v>9</v>
      </c>
      <c r="F28" s="246">
        <v>32</v>
      </c>
      <c r="G28" s="246">
        <v>0</v>
      </c>
      <c r="H28" s="246">
        <v>0</v>
      </c>
      <c r="I28" s="246">
        <v>0</v>
      </c>
      <c r="J28" s="246">
        <v>48</v>
      </c>
      <c r="K28" s="246">
        <v>0</v>
      </c>
      <c r="L28" s="246">
        <v>30</v>
      </c>
      <c r="M28" s="246">
        <v>0</v>
      </c>
      <c r="N28" s="248">
        <v>0</v>
      </c>
    </row>
    <row r="29" spans="2:23" x14ac:dyDescent="0.25">
      <c r="B29" s="244">
        <v>24</v>
      </c>
      <c r="C29" s="245">
        <v>17</v>
      </c>
      <c r="D29" s="246">
        <v>9</v>
      </c>
      <c r="E29" s="246">
        <v>6</v>
      </c>
      <c r="F29" s="246">
        <v>0</v>
      </c>
      <c r="G29" s="246">
        <v>0</v>
      </c>
      <c r="H29" s="246">
        <v>0</v>
      </c>
      <c r="I29" s="246">
        <v>0</v>
      </c>
      <c r="J29" s="246">
        <v>0</v>
      </c>
      <c r="K29" s="246">
        <v>54</v>
      </c>
      <c r="L29" s="246">
        <v>0</v>
      </c>
      <c r="M29" s="246">
        <v>0</v>
      </c>
      <c r="N29" s="248">
        <v>45</v>
      </c>
    </row>
    <row r="30" spans="2:23" x14ac:dyDescent="0.25">
      <c r="B30" s="244">
        <v>25</v>
      </c>
      <c r="C30" s="245">
        <v>9</v>
      </c>
      <c r="D30" s="246">
        <v>0</v>
      </c>
      <c r="E30" s="246">
        <v>0</v>
      </c>
      <c r="F30" s="246">
        <v>6</v>
      </c>
      <c r="G30" s="246">
        <v>0</v>
      </c>
      <c r="H30" s="246">
        <v>0</v>
      </c>
      <c r="I30" s="246">
        <v>0</v>
      </c>
      <c r="J30" s="246">
        <v>0</v>
      </c>
      <c r="K30" s="246">
        <v>7</v>
      </c>
      <c r="L30" s="246">
        <v>32</v>
      </c>
      <c r="M30" s="246">
        <v>0</v>
      </c>
      <c r="N30" s="248">
        <v>0</v>
      </c>
    </row>
    <row r="31" spans="2:23" x14ac:dyDescent="0.25">
      <c r="B31" s="244">
        <v>26</v>
      </c>
      <c r="C31" s="245">
        <v>7</v>
      </c>
      <c r="D31" s="246">
        <v>0</v>
      </c>
      <c r="E31" s="246">
        <v>0</v>
      </c>
      <c r="F31" s="246">
        <v>0</v>
      </c>
      <c r="G31" s="246">
        <v>5</v>
      </c>
      <c r="H31" s="246">
        <v>0</v>
      </c>
      <c r="I31" s="246">
        <v>0</v>
      </c>
      <c r="J31" s="246">
        <v>0</v>
      </c>
      <c r="K31" s="246">
        <v>12</v>
      </c>
      <c r="L31" s="246">
        <v>4</v>
      </c>
      <c r="M31" s="246">
        <v>0</v>
      </c>
      <c r="N31" s="248">
        <v>0</v>
      </c>
    </row>
    <row r="32" spans="2:23" x14ac:dyDescent="0.25">
      <c r="B32" s="244">
        <v>27</v>
      </c>
      <c r="C32" s="245">
        <v>0</v>
      </c>
      <c r="D32" s="246">
        <v>29</v>
      </c>
      <c r="E32" s="246">
        <v>0</v>
      </c>
      <c r="F32" s="246">
        <v>0</v>
      </c>
      <c r="G32" s="246">
        <v>5</v>
      </c>
      <c r="H32" s="246">
        <v>0</v>
      </c>
      <c r="I32" s="246">
        <v>0</v>
      </c>
      <c r="J32" s="246">
        <v>19</v>
      </c>
      <c r="K32" s="246">
        <v>0</v>
      </c>
      <c r="L32" s="246">
        <v>12</v>
      </c>
      <c r="M32" s="246">
        <v>0</v>
      </c>
      <c r="N32" s="248">
        <v>7</v>
      </c>
    </row>
    <row r="33" spans="2:28" x14ac:dyDescent="0.25">
      <c r="B33" s="244">
        <v>28</v>
      </c>
      <c r="C33" s="245">
        <v>9</v>
      </c>
      <c r="D33" s="246">
        <v>0</v>
      </c>
      <c r="E33" s="246">
        <v>15</v>
      </c>
      <c r="F33" s="246">
        <v>115</v>
      </c>
      <c r="G33" s="246">
        <v>9</v>
      </c>
      <c r="H33" s="246">
        <v>0</v>
      </c>
      <c r="I33" s="246">
        <v>0</v>
      </c>
      <c r="J33" s="246">
        <v>0</v>
      </c>
      <c r="K33" s="246">
        <v>0</v>
      </c>
      <c r="L33" s="246">
        <v>7</v>
      </c>
      <c r="M33" s="246">
        <v>0</v>
      </c>
      <c r="N33" s="248">
        <v>9</v>
      </c>
    </row>
    <row r="34" spans="2:28" x14ac:dyDescent="0.25">
      <c r="B34" s="244">
        <v>29</v>
      </c>
      <c r="C34" s="245">
        <v>0</v>
      </c>
      <c r="D34" s="246">
        <v>0</v>
      </c>
      <c r="E34" s="246">
        <v>5</v>
      </c>
      <c r="F34" s="246">
        <v>0</v>
      </c>
      <c r="G34" s="246">
        <v>0</v>
      </c>
      <c r="H34" s="246">
        <v>0</v>
      </c>
      <c r="I34" s="246">
        <v>0</v>
      </c>
      <c r="J34" s="246">
        <v>0</v>
      </c>
      <c r="K34" s="246">
        <v>10</v>
      </c>
      <c r="L34" s="246">
        <v>0</v>
      </c>
      <c r="M34" s="246">
        <v>11</v>
      </c>
      <c r="N34" s="248">
        <v>27</v>
      </c>
    </row>
    <row r="35" spans="2:28" x14ac:dyDescent="0.25">
      <c r="B35" s="244">
        <v>30</v>
      </c>
      <c r="C35" s="245">
        <v>49</v>
      </c>
      <c r="D35" s="246">
        <v>0</v>
      </c>
      <c r="E35" s="246">
        <v>0</v>
      </c>
      <c r="F35" s="246">
        <v>0</v>
      </c>
      <c r="G35" s="246">
        <v>0</v>
      </c>
      <c r="H35" s="246">
        <v>0</v>
      </c>
      <c r="I35" s="246">
        <v>0</v>
      </c>
      <c r="J35" s="246">
        <v>0</v>
      </c>
      <c r="K35" s="246">
        <v>0</v>
      </c>
      <c r="L35" s="246">
        <v>6</v>
      </c>
      <c r="M35" s="246">
        <v>0</v>
      </c>
      <c r="N35" s="248">
        <v>0</v>
      </c>
    </row>
    <row r="36" spans="2:28" ht="15.75" thickBot="1" x14ac:dyDescent="0.3">
      <c r="B36" s="244">
        <v>31</v>
      </c>
      <c r="C36" s="250">
        <v>9</v>
      </c>
      <c r="D36" s="251">
        <v>0</v>
      </c>
      <c r="E36" s="251">
        <v>10</v>
      </c>
      <c r="F36" s="246">
        <v>0</v>
      </c>
      <c r="G36" s="246">
        <v>0</v>
      </c>
      <c r="H36" s="246">
        <v>0</v>
      </c>
      <c r="I36" s="246">
        <v>0</v>
      </c>
      <c r="J36" s="246">
        <v>16</v>
      </c>
      <c r="K36" s="246">
        <v>0</v>
      </c>
      <c r="L36" s="246">
        <v>7</v>
      </c>
      <c r="M36" s="246">
        <v>0</v>
      </c>
      <c r="N36" s="248">
        <v>0</v>
      </c>
    </row>
    <row r="37" spans="2:28" x14ac:dyDescent="0.25">
      <c r="B37" s="5" t="s">
        <v>16</v>
      </c>
      <c r="C37" s="6">
        <f>SUM(C6:C36)</f>
        <v>440</v>
      </c>
      <c r="D37" s="105">
        <f t="shared" ref="D37:N37" si="0">SUM(D6:D36)</f>
        <v>390</v>
      </c>
      <c r="E37" s="105">
        <f t="shared" si="0"/>
        <v>370</v>
      </c>
      <c r="F37" s="105">
        <f t="shared" si="0"/>
        <v>262</v>
      </c>
      <c r="G37" s="105">
        <f t="shared" si="0"/>
        <v>234</v>
      </c>
      <c r="H37" s="105">
        <f t="shared" si="0"/>
        <v>99</v>
      </c>
      <c r="I37" s="105">
        <f t="shared" si="0"/>
        <v>27</v>
      </c>
      <c r="J37" s="105">
        <f t="shared" si="0"/>
        <v>171</v>
      </c>
      <c r="K37" s="105">
        <f t="shared" si="0"/>
        <v>191</v>
      </c>
      <c r="L37" s="105">
        <f t="shared" si="0"/>
        <v>211</v>
      </c>
      <c r="M37" s="105">
        <f t="shared" si="0"/>
        <v>169</v>
      </c>
      <c r="N37" s="106">
        <f t="shared" si="0"/>
        <v>274</v>
      </c>
    </row>
    <row r="38" spans="2:28" x14ac:dyDescent="0.25">
      <c r="B38" s="107" t="s">
        <v>17</v>
      </c>
      <c r="C38" s="102">
        <f>C37/$T$3</f>
        <v>44</v>
      </c>
      <c r="D38" s="101">
        <f t="shared" ref="D38:N38" si="1">D37/$T$3</f>
        <v>39</v>
      </c>
      <c r="E38" s="101">
        <f t="shared" si="1"/>
        <v>37</v>
      </c>
      <c r="F38" s="101">
        <f t="shared" si="1"/>
        <v>26.2</v>
      </c>
      <c r="G38" s="101">
        <f t="shared" si="1"/>
        <v>23.4</v>
      </c>
      <c r="H38" s="101">
        <f t="shared" si="1"/>
        <v>9.9</v>
      </c>
      <c r="I38" s="101">
        <f t="shared" si="1"/>
        <v>2.7</v>
      </c>
      <c r="J38" s="101">
        <f t="shared" si="1"/>
        <v>17.100000000000001</v>
      </c>
      <c r="K38" s="101">
        <f t="shared" si="1"/>
        <v>19.100000000000001</v>
      </c>
      <c r="L38" s="101">
        <f t="shared" si="1"/>
        <v>21.1</v>
      </c>
      <c r="M38" s="101">
        <f t="shared" si="1"/>
        <v>16.899999999999999</v>
      </c>
      <c r="N38" s="108">
        <f t="shared" si="1"/>
        <v>27.4</v>
      </c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5"/>
    </row>
    <row r="39" spans="2:28" x14ac:dyDescent="0.25">
      <c r="B39" s="107" t="s">
        <v>18</v>
      </c>
      <c r="C39" s="109">
        <f>$T$4*((C38)^$T$5)</f>
        <v>379.74137072839341</v>
      </c>
      <c r="D39" s="110">
        <f t="shared" ref="D39:N39" si="2">$T$4*((D38)^$T$5)</f>
        <v>322.28503449025203</v>
      </c>
      <c r="E39" s="110">
        <f t="shared" si="2"/>
        <v>300.017521132512</v>
      </c>
      <c r="F39" s="110">
        <f t="shared" si="2"/>
        <v>187.62125208156601</v>
      </c>
      <c r="G39" s="110">
        <f t="shared" si="2"/>
        <v>160.88881010721676</v>
      </c>
      <c r="H39" s="110">
        <f t="shared" si="2"/>
        <v>49.940873977082823</v>
      </c>
      <c r="I39" s="110">
        <f t="shared" si="2"/>
        <v>8.5319242891984004</v>
      </c>
      <c r="J39" s="110">
        <f t="shared" si="2"/>
        <v>105.01878363302274</v>
      </c>
      <c r="K39" s="110">
        <f t="shared" si="2"/>
        <v>122.06682628466911</v>
      </c>
      <c r="L39" s="110">
        <f t="shared" si="2"/>
        <v>139.77078775829492</v>
      </c>
      <c r="M39" s="110">
        <f t="shared" si="2"/>
        <v>103.35183501883169</v>
      </c>
      <c r="N39" s="111">
        <f t="shared" si="2"/>
        <v>199.40362038269492</v>
      </c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</row>
    <row r="40" spans="2:28" ht="15.75" thickBot="1" x14ac:dyDescent="0.3">
      <c r="B40" s="112" t="s">
        <v>19</v>
      </c>
      <c r="C40" s="341">
        <f>SUM(C39:N39)</f>
        <v>2078.6386398837349</v>
      </c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42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</row>
    <row r="41" spans="2:28" x14ac:dyDescent="0.25"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2:28" x14ac:dyDescent="0.25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2:28" ht="15.75" thickBot="1" x14ac:dyDescent="0.3">
      <c r="B43" s="235" t="s">
        <v>21</v>
      </c>
      <c r="O43" s="21"/>
      <c r="P43" s="21"/>
      <c r="Q43" s="21"/>
    </row>
    <row r="44" spans="2:28" ht="15.75" thickBot="1" x14ac:dyDescent="0.3">
      <c r="B44" s="347" t="s">
        <v>0</v>
      </c>
      <c r="C44" s="349" t="s">
        <v>7</v>
      </c>
      <c r="D44" s="350"/>
      <c r="E44" s="350"/>
      <c r="F44" s="350"/>
      <c r="G44" s="350"/>
      <c r="H44" s="350"/>
      <c r="I44" s="350"/>
      <c r="J44" s="350"/>
      <c r="K44" s="350"/>
      <c r="L44" s="350"/>
      <c r="M44" s="350"/>
      <c r="N44" s="351"/>
      <c r="O44" s="252"/>
      <c r="P44" s="240"/>
      <c r="Q44" s="240"/>
    </row>
    <row r="45" spans="2:28" ht="15.75" thickBot="1" x14ac:dyDescent="0.3">
      <c r="B45" s="348"/>
      <c r="C45" s="243" t="s">
        <v>1</v>
      </c>
      <c r="D45" s="243" t="s">
        <v>2</v>
      </c>
      <c r="E45" s="243" t="s">
        <v>3</v>
      </c>
      <c r="F45" s="243" t="s">
        <v>4</v>
      </c>
      <c r="G45" s="243" t="s">
        <v>5</v>
      </c>
      <c r="H45" s="243" t="s">
        <v>6</v>
      </c>
      <c r="I45" s="243" t="s">
        <v>8</v>
      </c>
      <c r="J45" s="243" t="s">
        <v>9</v>
      </c>
      <c r="K45" s="243" t="s">
        <v>10</v>
      </c>
      <c r="L45" s="243" t="s">
        <v>11</v>
      </c>
      <c r="M45" s="243" t="s">
        <v>12</v>
      </c>
      <c r="N45" s="52" t="s">
        <v>13</v>
      </c>
      <c r="O45" s="252"/>
    </row>
    <row r="46" spans="2:28" x14ac:dyDescent="0.25">
      <c r="B46" s="244">
        <v>1</v>
      </c>
      <c r="C46" s="246">
        <v>20</v>
      </c>
      <c r="D46" s="246">
        <v>25</v>
      </c>
      <c r="E46" s="246">
        <v>48</v>
      </c>
      <c r="F46" s="246">
        <v>0</v>
      </c>
      <c r="G46" s="246">
        <v>15</v>
      </c>
      <c r="H46" s="247">
        <v>0</v>
      </c>
      <c r="I46" s="247">
        <v>0</v>
      </c>
      <c r="J46" s="247">
        <v>0</v>
      </c>
      <c r="K46" s="247">
        <v>0</v>
      </c>
      <c r="L46" s="246">
        <v>0</v>
      </c>
      <c r="M46" s="246">
        <v>0</v>
      </c>
      <c r="N46" s="248">
        <v>0</v>
      </c>
      <c r="O46" s="253"/>
    </row>
    <row r="47" spans="2:28" x14ac:dyDescent="0.25">
      <c r="B47" s="244">
        <v>2</v>
      </c>
      <c r="C47" s="246">
        <v>9</v>
      </c>
      <c r="D47" s="246">
        <v>0</v>
      </c>
      <c r="E47" s="246">
        <v>0</v>
      </c>
      <c r="F47" s="246">
        <v>0</v>
      </c>
      <c r="G47" s="246">
        <v>0</v>
      </c>
      <c r="H47" s="246">
        <v>0</v>
      </c>
      <c r="I47" s="246">
        <v>0</v>
      </c>
      <c r="J47" s="246">
        <v>0</v>
      </c>
      <c r="K47" s="246">
        <v>0</v>
      </c>
      <c r="L47" s="246">
        <v>0</v>
      </c>
      <c r="M47" s="246">
        <v>0</v>
      </c>
      <c r="N47" s="248">
        <v>0</v>
      </c>
      <c r="O47" s="254"/>
    </row>
    <row r="48" spans="2:28" x14ac:dyDescent="0.25">
      <c r="B48" s="244">
        <v>3</v>
      </c>
      <c r="C48" s="246">
        <v>0</v>
      </c>
      <c r="D48" s="246">
        <v>13</v>
      </c>
      <c r="E48" s="246">
        <v>0</v>
      </c>
      <c r="F48" s="246">
        <v>0</v>
      </c>
      <c r="G48" s="246">
        <v>17</v>
      </c>
      <c r="H48" s="246">
        <v>0</v>
      </c>
      <c r="I48" s="246">
        <v>0</v>
      </c>
      <c r="J48" s="246">
        <v>0</v>
      </c>
      <c r="K48" s="246">
        <v>0</v>
      </c>
      <c r="L48" s="246">
        <v>0</v>
      </c>
      <c r="M48" s="246">
        <v>0</v>
      </c>
      <c r="N48" s="248">
        <v>0</v>
      </c>
      <c r="O48" s="254"/>
    </row>
    <row r="49" spans="2:15" x14ac:dyDescent="0.25">
      <c r="B49" s="244">
        <v>4</v>
      </c>
      <c r="C49" s="246">
        <v>9</v>
      </c>
      <c r="D49" s="246">
        <v>25</v>
      </c>
      <c r="E49" s="246">
        <v>0</v>
      </c>
      <c r="F49" s="246">
        <v>17</v>
      </c>
      <c r="G49" s="246">
        <v>0</v>
      </c>
      <c r="H49" s="246">
        <v>0</v>
      </c>
      <c r="I49" s="246">
        <v>0</v>
      </c>
      <c r="J49" s="246">
        <v>0</v>
      </c>
      <c r="K49" s="246">
        <v>0</v>
      </c>
      <c r="L49" s="246">
        <v>0</v>
      </c>
      <c r="M49" s="246">
        <v>0</v>
      </c>
      <c r="N49" s="248">
        <v>0</v>
      </c>
      <c r="O49" s="254"/>
    </row>
    <row r="50" spans="2:15" x14ac:dyDescent="0.25">
      <c r="B50" s="244">
        <v>5</v>
      </c>
      <c r="C50" s="246">
        <v>0</v>
      </c>
      <c r="D50" s="246">
        <v>75</v>
      </c>
      <c r="E50" s="246">
        <v>60</v>
      </c>
      <c r="F50" s="246">
        <v>0</v>
      </c>
      <c r="G50" s="246">
        <v>0</v>
      </c>
      <c r="H50" s="246">
        <v>0</v>
      </c>
      <c r="I50" s="246">
        <v>0</v>
      </c>
      <c r="J50" s="246">
        <v>0</v>
      </c>
      <c r="K50" s="246">
        <v>0</v>
      </c>
      <c r="L50" s="246">
        <v>0</v>
      </c>
      <c r="M50" s="246">
        <v>0</v>
      </c>
      <c r="N50" s="248">
        <v>0</v>
      </c>
      <c r="O50" s="253"/>
    </row>
    <row r="51" spans="2:15" x14ac:dyDescent="0.25">
      <c r="B51" s="244">
        <v>6</v>
      </c>
      <c r="C51" s="246">
        <v>0</v>
      </c>
      <c r="D51" s="246">
        <v>0</v>
      </c>
      <c r="E51" s="246">
        <v>22</v>
      </c>
      <c r="F51" s="246">
        <v>0</v>
      </c>
      <c r="G51" s="246">
        <v>24</v>
      </c>
      <c r="H51" s="246">
        <v>0</v>
      </c>
      <c r="I51" s="246">
        <v>0</v>
      </c>
      <c r="J51" s="246">
        <v>0</v>
      </c>
      <c r="K51" s="246">
        <v>0</v>
      </c>
      <c r="L51" s="246">
        <v>0</v>
      </c>
      <c r="M51" s="246">
        <v>0</v>
      </c>
      <c r="N51" s="248">
        <v>0</v>
      </c>
      <c r="O51" s="252"/>
    </row>
    <row r="52" spans="2:15" x14ac:dyDescent="0.25">
      <c r="B52" s="244">
        <v>7</v>
      </c>
      <c r="C52" s="246">
        <v>0</v>
      </c>
      <c r="D52" s="246">
        <v>0</v>
      </c>
      <c r="E52" s="246">
        <v>14</v>
      </c>
      <c r="F52" s="246">
        <v>13</v>
      </c>
      <c r="G52" s="246">
        <v>64</v>
      </c>
      <c r="H52" s="246">
        <v>0</v>
      </c>
      <c r="I52" s="246">
        <v>0</v>
      </c>
      <c r="J52" s="246">
        <v>0</v>
      </c>
      <c r="K52" s="246">
        <v>0</v>
      </c>
      <c r="L52" s="246">
        <v>0</v>
      </c>
      <c r="M52" s="246">
        <v>0</v>
      </c>
      <c r="N52" s="248">
        <v>0</v>
      </c>
      <c r="O52" s="254"/>
    </row>
    <row r="53" spans="2:15" x14ac:dyDescent="0.25">
      <c r="B53" s="244">
        <v>8</v>
      </c>
      <c r="C53" s="246">
        <v>0</v>
      </c>
      <c r="D53" s="246">
        <v>0</v>
      </c>
      <c r="E53" s="246">
        <v>0</v>
      </c>
      <c r="F53" s="246">
        <v>0</v>
      </c>
      <c r="G53" s="246">
        <v>0</v>
      </c>
      <c r="H53" s="246">
        <v>0</v>
      </c>
      <c r="I53" s="246">
        <v>0</v>
      </c>
      <c r="J53" s="246">
        <v>0</v>
      </c>
      <c r="K53" s="246">
        <v>0</v>
      </c>
      <c r="L53" s="246">
        <v>0</v>
      </c>
      <c r="M53" s="246">
        <v>0</v>
      </c>
      <c r="N53" s="248">
        <v>0</v>
      </c>
      <c r="O53" s="254"/>
    </row>
    <row r="54" spans="2:15" x14ac:dyDescent="0.25">
      <c r="B54" s="244">
        <v>9</v>
      </c>
      <c r="C54" s="246">
        <v>12</v>
      </c>
      <c r="D54" s="246">
        <v>0</v>
      </c>
      <c r="E54" s="246">
        <v>0</v>
      </c>
      <c r="F54" s="246">
        <v>0</v>
      </c>
      <c r="G54" s="246">
        <v>0</v>
      </c>
      <c r="H54" s="246">
        <v>0</v>
      </c>
      <c r="I54" s="246">
        <v>0</v>
      </c>
      <c r="J54" s="246">
        <v>0</v>
      </c>
      <c r="K54" s="246">
        <v>0</v>
      </c>
      <c r="L54" s="246">
        <v>0</v>
      </c>
      <c r="M54" s="246">
        <v>0</v>
      </c>
      <c r="N54" s="248">
        <v>0</v>
      </c>
      <c r="O54" s="254"/>
    </row>
    <row r="55" spans="2:15" x14ac:dyDescent="0.25">
      <c r="B55" s="244">
        <v>10</v>
      </c>
      <c r="C55" s="246">
        <v>62</v>
      </c>
      <c r="D55" s="246">
        <v>18</v>
      </c>
      <c r="E55" s="246">
        <v>64</v>
      </c>
      <c r="F55" s="246">
        <v>0</v>
      </c>
      <c r="G55" s="246">
        <v>0</v>
      </c>
      <c r="H55" s="246">
        <v>0</v>
      </c>
      <c r="I55" s="246">
        <v>0</v>
      </c>
      <c r="J55" s="246">
        <v>0</v>
      </c>
      <c r="K55" s="246">
        <v>0</v>
      </c>
      <c r="L55" s="246">
        <v>0</v>
      </c>
      <c r="M55" s="246">
        <v>0</v>
      </c>
      <c r="N55" s="248">
        <v>0</v>
      </c>
      <c r="O55" s="252"/>
    </row>
    <row r="56" spans="2:15" x14ac:dyDescent="0.25">
      <c r="B56" s="244">
        <v>11</v>
      </c>
      <c r="C56" s="246">
        <v>26</v>
      </c>
      <c r="D56" s="246">
        <v>8</v>
      </c>
      <c r="E56" s="246">
        <v>0</v>
      </c>
      <c r="F56" s="246">
        <v>0</v>
      </c>
      <c r="G56" s="246">
        <v>0</v>
      </c>
      <c r="H56" s="246">
        <v>0</v>
      </c>
      <c r="I56" s="246">
        <v>5</v>
      </c>
      <c r="J56" s="246">
        <v>0</v>
      </c>
      <c r="K56" s="246">
        <v>0</v>
      </c>
      <c r="L56" s="246">
        <v>0</v>
      </c>
      <c r="M56" s="246">
        <v>0</v>
      </c>
      <c r="N56" s="248">
        <v>0</v>
      </c>
      <c r="O56" s="253"/>
    </row>
    <row r="57" spans="2:15" x14ac:dyDescent="0.25">
      <c r="B57" s="244">
        <v>12</v>
      </c>
      <c r="C57" s="246">
        <v>0</v>
      </c>
      <c r="D57" s="246">
        <v>0</v>
      </c>
      <c r="E57" s="246">
        <v>18</v>
      </c>
      <c r="F57" s="246">
        <v>39</v>
      </c>
      <c r="G57" s="246">
        <v>0</v>
      </c>
      <c r="H57" s="246">
        <v>0</v>
      </c>
      <c r="I57" s="246">
        <v>0</v>
      </c>
      <c r="J57" s="246">
        <v>0</v>
      </c>
      <c r="K57" s="246">
        <v>0</v>
      </c>
      <c r="L57" s="246">
        <v>0</v>
      </c>
      <c r="M57" s="246">
        <v>0</v>
      </c>
      <c r="N57" s="248">
        <v>0</v>
      </c>
      <c r="O57" s="254"/>
    </row>
    <row r="58" spans="2:15" x14ac:dyDescent="0.25">
      <c r="B58" s="244">
        <v>13</v>
      </c>
      <c r="C58" s="246">
        <v>0</v>
      </c>
      <c r="D58" s="246">
        <v>18</v>
      </c>
      <c r="E58" s="246">
        <v>0</v>
      </c>
      <c r="F58" s="246">
        <v>61</v>
      </c>
      <c r="G58" s="246">
        <v>0</v>
      </c>
      <c r="H58" s="246">
        <v>0</v>
      </c>
      <c r="I58" s="246">
        <v>7</v>
      </c>
      <c r="J58" s="246">
        <v>0</v>
      </c>
      <c r="K58" s="246">
        <v>0</v>
      </c>
      <c r="L58" s="246">
        <v>0</v>
      </c>
      <c r="M58" s="246">
        <v>0</v>
      </c>
      <c r="N58" s="248">
        <v>0</v>
      </c>
      <c r="O58" s="254"/>
    </row>
    <row r="59" spans="2:15" x14ac:dyDescent="0.25">
      <c r="B59" s="244">
        <v>14</v>
      </c>
      <c r="C59" s="246">
        <v>0</v>
      </c>
      <c r="D59" s="246">
        <v>0</v>
      </c>
      <c r="E59" s="246">
        <v>0</v>
      </c>
      <c r="F59" s="246">
        <v>35</v>
      </c>
      <c r="G59" s="246">
        <v>0</v>
      </c>
      <c r="H59" s="246">
        <v>0</v>
      </c>
      <c r="I59" s="246">
        <v>0</v>
      </c>
      <c r="J59" s="246">
        <v>0</v>
      </c>
      <c r="K59" s="246">
        <v>0</v>
      </c>
      <c r="L59" s="246">
        <v>0</v>
      </c>
      <c r="M59" s="246">
        <v>0</v>
      </c>
      <c r="N59" s="248">
        <v>0</v>
      </c>
      <c r="O59" s="254"/>
    </row>
    <row r="60" spans="2:15" x14ac:dyDescent="0.25">
      <c r="B60" s="244">
        <v>15</v>
      </c>
      <c r="C60" s="246">
        <v>0</v>
      </c>
      <c r="D60" s="246">
        <v>0</v>
      </c>
      <c r="E60" s="246">
        <v>0</v>
      </c>
      <c r="F60" s="246">
        <v>3</v>
      </c>
      <c r="G60" s="246">
        <v>0</v>
      </c>
      <c r="H60" s="246">
        <v>0</v>
      </c>
      <c r="I60" s="246">
        <v>0</v>
      </c>
      <c r="J60" s="246">
        <v>0</v>
      </c>
      <c r="K60" s="246">
        <v>0</v>
      </c>
      <c r="L60" s="246">
        <v>0</v>
      </c>
      <c r="M60" s="246">
        <v>0</v>
      </c>
      <c r="N60" s="248">
        <v>0</v>
      </c>
      <c r="O60" s="252"/>
    </row>
    <row r="61" spans="2:15" x14ac:dyDescent="0.25">
      <c r="B61" s="244">
        <v>16</v>
      </c>
      <c r="C61" s="246">
        <v>13</v>
      </c>
      <c r="D61" s="246">
        <v>0</v>
      </c>
      <c r="E61" s="246">
        <v>0</v>
      </c>
      <c r="F61" s="246">
        <v>15</v>
      </c>
      <c r="G61" s="246">
        <v>20</v>
      </c>
      <c r="H61" s="246">
        <v>0</v>
      </c>
      <c r="I61" s="246">
        <v>0</v>
      </c>
      <c r="J61" s="246">
        <v>0</v>
      </c>
      <c r="K61" s="246">
        <v>0</v>
      </c>
      <c r="L61" s="246">
        <v>0</v>
      </c>
      <c r="M61" s="246">
        <v>0</v>
      </c>
      <c r="N61" s="248">
        <v>0</v>
      </c>
      <c r="O61" s="253"/>
    </row>
    <row r="62" spans="2:15" x14ac:dyDescent="0.25">
      <c r="B62" s="244">
        <v>17</v>
      </c>
      <c r="C62" s="246">
        <v>2</v>
      </c>
      <c r="D62" s="246">
        <v>0</v>
      </c>
      <c r="E62" s="246">
        <v>0</v>
      </c>
      <c r="F62" s="246">
        <v>0</v>
      </c>
      <c r="G62" s="246">
        <v>25</v>
      </c>
      <c r="H62" s="246">
        <v>0</v>
      </c>
      <c r="I62" s="246">
        <v>0</v>
      </c>
      <c r="J62" s="246">
        <v>0</v>
      </c>
      <c r="K62" s="246">
        <v>0</v>
      </c>
      <c r="L62" s="246">
        <v>35</v>
      </c>
      <c r="M62" s="246">
        <v>0</v>
      </c>
      <c r="N62" s="248">
        <v>0</v>
      </c>
      <c r="O62" s="254"/>
    </row>
    <row r="63" spans="2:15" x14ac:dyDescent="0.25">
      <c r="B63" s="244">
        <v>18</v>
      </c>
      <c r="C63" s="246">
        <v>20</v>
      </c>
      <c r="D63" s="246">
        <v>0</v>
      </c>
      <c r="E63" s="246">
        <v>0</v>
      </c>
      <c r="F63" s="246">
        <v>0</v>
      </c>
      <c r="G63" s="246">
        <v>0</v>
      </c>
      <c r="H63" s="246">
        <v>0</v>
      </c>
      <c r="I63" s="246">
        <v>0</v>
      </c>
      <c r="J63" s="246">
        <v>0</v>
      </c>
      <c r="K63" s="246">
        <v>0</v>
      </c>
      <c r="L63" s="246">
        <v>0</v>
      </c>
      <c r="M63" s="246">
        <v>0</v>
      </c>
      <c r="N63" s="248">
        <v>0</v>
      </c>
      <c r="O63" s="254"/>
    </row>
    <row r="64" spans="2:15" x14ac:dyDescent="0.25">
      <c r="B64" s="244">
        <v>19</v>
      </c>
      <c r="C64" s="246">
        <v>0</v>
      </c>
      <c r="D64" s="246">
        <v>0</v>
      </c>
      <c r="E64" s="246">
        <v>0</v>
      </c>
      <c r="F64" s="246">
        <v>20</v>
      </c>
      <c r="G64" s="246">
        <v>0</v>
      </c>
      <c r="H64" s="246">
        <v>0</v>
      </c>
      <c r="I64" s="246">
        <v>0</v>
      </c>
      <c r="J64" s="246">
        <v>0</v>
      </c>
      <c r="K64" s="246">
        <v>0</v>
      </c>
      <c r="L64" s="246">
        <v>0</v>
      </c>
      <c r="M64" s="246">
        <v>0</v>
      </c>
      <c r="N64" s="248">
        <v>0</v>
      </c>
      <c r="O64" s="254"/>
    </row>
    <row r="65" spans="2:27" x14ac:dyDescent="0.25">
      <c r="B65" s="244">
        <v>20</v>
      </c>
      <c r="C65" s="246">
        <v>7</v>
      </c>
      <c r="D65" s="246">
        <v>8</v>
      </c>
      <c r="E65" s="246">
        <v>42</v>
      </c>
      <c r="F65" s="246">
        <v>0</v>
      </c>
      <c r="G65" s="246">
        <v>0</v>
      </c>
      <c r="H65" s="246">
        <v>0</v>
      </c>
      <c r="I65" s="246">
        <v>0</v>
      </c>
      <c r="J65" s="246">
        <v>0</v>
      </c>
      <c r="K65" s="246">
        <v>0</v>
      </c>
      <c r="L65" s="246">
        <v>0</v>
      </c>
      <c r="M65" s="246">
        <v>0</v>
      </c>
      <c r="N65" s="248">
        <v>0</v>
      </c>
      <c r="O65" s="252"/>
    </row>
    <row r="66" spans="2:27" x14ac:dyDescent="0.25">
      <c r="B66" s="244">
        <v>21</v>
      </c>
      <c r="C66" s="246">
        <v>33</v>
      </c>
      <c r="D66" s="246">
        <v>0</v>
      </c>
      <c r="E66" s="246">
        <v>0</v>
      </c>
      <c r="F66" s="246">
        <v>0</v>
      </c>
      <c r="G66" s="246">
        <v>0</v>
      </c>
      <c r="H66" s="246">
        <v>0</v>
      </c>
      <c r="I66" s="246">
        <v>25</v>
      </c>
      <c r="J66" s="246">
        <v>0</v>
      </c>
      <c r="K66" s="246">
        <v>0</v>
      </c>
      <c r="L66" s="246">
        <v>0</v>
      </c>
      <c r="M66" s="246">
        <v>0</v>
      </c>
      <c r="N66" s="248">
        <v>0</v>
      </c>
      <c r="O66" s="253"/>
    </row>
    <row r="67" spans="2:27" x14ac:dyDescent="0.25">
      <c r="B67" s="244">
        <v>22</v>
      </c>
      <c r="C67" s="246">
        <v>0</v>
      </c>
      <c r="D67" s="246">
        <v>3</v>
      </c>
      <c r="E67" s="246">
        <v>20</v>
      </c>
      <c r="F67" s="246">
        <v>40</v>
      </c>
      <c r="G67" s="246">
        <v>0</v>
      </c>
      <c r="H67" s="246">
        <v>0</v>
      </c>
      <c r="I67" s="246">
        <v>0</v>
      </c>
      <c r="J67" s="246">
        <v>0</v>
      </c>
      <c r="K67" s="246">
        <v>0</v>
      </c>
      <c r="L67" s="246">
        <v>0</v>
      </c>
      <c r="M67" s="246">
        <v>0</v>
      </c>
      <c r="N67" s="248">
        <v>0</v>
      </c>
      <c r="O67" s="254"/>
    </row>
    <row r="68" spans="2:27" x14ac:dyDescent="0.25">
      <c r="B68" s="244">
        <v>23</v>
      </c>
      <c r="C68" s="246">
        <v>0</v>
      </c>
      <c r="D68" s="246">
        <v>0</v>
      </c>
      <c r="E68" s="246">
        <v>17</v>
      </c>
      <c r="F68" s="246">
        <v>10</v>
      </c>
      <c r="G68" s="246">
        <v>0</v>
      </c>
      <c r="H68" s="246">
        <v>0</v>
      </c>
      <c r="I68" s="246">
        <v>0</v>
      </c>
      <c r="J68" s="246">
        <v>0</v>
      </c>
      <c r="K68" s="246">
        <v>0</v>
      </c>
      <c r="L68" s="246">
        <v>0</v>
      </c>
      <c r="M68" s="246">
        <v>0</v>
      </c>
      <c r="N68" s="248">
        <v>0</v>
      </c>
      <c r="O68" s="254"/>
    </row>
    <row r="69" spans="2:27" x14ac:dyDescent="0.25">
      <c r="B69" s="244">
        <v>24</v>
      </c>
      <c r="C69" s="246">
        <v>0</v>
      </c>
      <c r="D69" s="246">
        <v>0</v>
      </c>
      <c r="E69" s="246">
        <v>7</v>
      </c>
      <c r="F69" s="246">
        <v>24</v>
      </c>
      <c r="G69" s="246">
        <v>0</v>
      </c>
      <c r="H69" s="246">
        <v>0</v>
      </c>
      <c r="I69" s="246">
        <v>0</v>
      </c>
      <c r="J69" s="246">
        <v>0</v>
      </c>
      <c r="K69" s="246">
        <v>0</v>
      </c>
      <c r="L69" s="246">
        <v>38</v>
      </c>
      <c r="M69" s="246">
        <v>0</v>
      </c>
      <c r="N69" s="248">
        <v>0</v>
      </c>
      <c r="O69" s="254"/>
    </row>
    <row r="70" spans="2:27" x14ac:dyDescent="0.25">
      <c r="B70" s="244">
        <v>25</v>
      </c>
      <c r="C70" s="246">
        <v>100</v>
      </c>
      <c r="D70" s="246">
        <v>1</v>
      </c>
      <c r="E70" s="246">
        <v>5</v>
      </c>
      <c r="F70" s="246">
        <v>0</v>
      </c>
      <c r="G70" s="246">
        <v>0</v>
      </c>
      <c r="H70" s="246">
        <v>0</v>
      </c>
      <c r="I70" s="246">
        <v>0</v>
      </c>
      <c r="J70" s="246">
        <v>0</v>
      </c>
      <c r="K70" s="246">
        <v>0</v>
      </c>
      <c r="L70" s="246">
        <v>6</v>
      </c>
      <c r="M70" s="246">
        <v>0</v>
      </c>
      <c r="N70" s="248">
        <v>0</v>
      </c>
      <c r="O70" s="252"/>
    </row>
    <row r="71" spans="2:27" x14ac:dyDescent="0.25">
      <c r="B71" s="244">
        <v>26</v>
      </c>
      <c r="C71" s="246">
        <v>0</v>
      </c>
      <c r="D71" s="246">
        <v>0</v>
      </c>
      <c r="E71" s="246">
        <v>0</v>
      </c>
      <c r="F71" s="246">
        <v>36</v>
      </c>
      <c r="G71" s="246">
        <v>0</v>
      </c>
      <c r="H71" s="246">
        <v>0</v>
      </c>
      <c r="I71" s="246">
        <v>0</v>
      </c>
      <c r="J71" s="246">
        <v>0</v>
      </c>
      <c r="K71" s="246">
        <v>0</v>
      </c>
      <c r="L71" s="246">
        <v>5</v>
      </c>
      <c r="M71" s="246">
        <v>0</v>
      </c>
      <c r="N71" s="248">
        <v>0</v>
      </c>
      <c r="O71" s="253"/>
    </row>
    <row r="72" spans="2:27" x14ac:dyDescent="0.25">
      <c r="B72" s="244">
        <v>27</v>
      </c>
      <c r="C72" s="246">
        <v>1</v>
      </c>
      <c r="D72" s="246">
        <v>6</v>
      </c>
      <c r="E72" s="246">
        <v>0</v>
      </c>
      <c r="F72" s="246">
        <v>0</v>
      </c>
      <c r="G72" s="246">
        <v>0</v>
      </c>
      <c r="H72" s="246">
        <v>0</v>
      </c>
      <c r="I72" s="246">
        <v>0</v>
      </c>
      <c r="J72" s="246">
        <v>0</v>
      </c>
      <c r="K72" s="246">
        <v>0</v>
      </c>
      <c r="L72" s="246">
        <v>6</v>
      </c>
      <c r="M72" s="246">
        <v>0</v>
      </c>
      <c r="N72" s="248">
        <v>0</v>
      </c>
      <c r="O72" s="254"/>
    </row>
    <row r="73" spans="2:27" x14ac:dyDescent="0.25">
      <c r="B73" s="244">
        <v>28</v>
      </c>
      <c r="C73" s="246">
        <v>0</v>
      </c>
      <c r="D73" s="246">
        <v>45</v>
      </c>
      <c r="E73" s="246">
        <v>3</v>
      </c>
      <c r="F73" s="246">
        <v>0</v>
      </c>
      <c r="G73" s="246">
        <v>0</v>
      </c>
      <c r="H73" s="246">
        <v>0</v>
      </c>
      <c r="I73" s="246">
        <v>0</v>
      </c>
      <c r="J73" s="246">
        <v>0</v>
      </c>
      <c r="K73" s="246">
        <v>0</v>
      </c>
      <c r="L73" s="246">
        <v>25</v>
      </c>
      <c r="M73" s="246">
        <v>0</v>
      </c>
      <c r="N73" s="248">
        <v>0</v>
      </c>
      <c r="O73" s="254"/>
    </row>
    <row r="74" spans="2:27" x14ac:dyDescent="0.25">
      <c r="B74" s="244">
        <v>29</v>
      </c>
      <c r="C74" s="246">
        <v>0</v>
      </c>
      <c r="D74" s="246">
        <v>0</v>
      </c>
      <c r="E74" s="246">
        <v>10</v>
      </c>
      <c r="F74" s="246">
        <v>0</v>
      </c>
      <c r="G74" s="246">
        <v>0</v>
      </c>
      <c r="H74" s="246">
        <v>0</v>
      </c>
      <c r="I74" s="246">
        <v>0</v>
      </c>
      <c r="J74" s="246">
        <v>0</v>
      </c>
      <c r="K74" s="246">
        <v>0</v>
      </c>
      <c r="L74" s="246">
        <v>6</v>
      </c>
      <c r="M74" s="246">
        <v>0</v>
      </c>
      <c r="N74" s="248">
        <v>0</v>
      </c>
      <c r="O74" s="254"/>
    </row>
    <row r="75" spans="2:27" x14ac:dyDescent="0.25">
      <c r="B75" s="244">
        <v>30</v>
      </c>
      <c r="C75" s="246">
        <v>0</v>
      </c>
      <c r="D75" s="246">
        <v>0</v>
      </c>
      <c r="E75" s="246">
        <v>4</v>
      </c>
      <c r="F75" s="246">
        <v>49</v>
      </c>
      <c r="G75" s="246">
        <v>0</v>
      </c>
      <c r="H75" s="246">
        <v>0</v>
      </c>
      <c r="I75" s="246">
        <v>0</v>
      </c>
      <c r="J75" s="246">
        <v>0</v>
      </c>
      <c r="K75" s="246">
        <v>0</v>
      </c>
      <c r="L75" s="246">
        <v>0</v>
      </c>
      <c r="M75" s="246">
        <v>0</v>
      </c>
      <c r="N75" s="248">
        <v>0</v>
      </c>
      <c r="O75" s="254"/>
      <c r="P75" s="21"/>
    </row>
    <row r="76" spans="2:27" ht="15.75" thickBot="1" x14ac:dyDescent="0.3">
      <c r="B76" s="51">
        <v>31</v>
      </c>
      <c r="C76" s="243">
        <v>0</v>
      </c>
      <c r="D76" s="243">
        <v>0</v>
      </c>
      <c r="E76" s="243">
        <v>50</v>
      </c>
      <c r="F76" s="243">
        <v>0</v>
      </c>
      <c r="G76" s="243">
        <v>0</v>
      </c>
      <c r="H76" s="243">
        <v>0</v>
      </c>
      <c r="I76" s="243">
        <v>0</v>
      </c>
      <c r="J76" s="243">
        <v>0</v>
      </c>
      <c r="K76" s="243">
        <v>0</v>
      </c>
      <c r="L76" s="243">
        <v>0</v>
      </c>
      <c r="M76" s="243">
        <v>0</v>
      </c>
      <c r="N76" s="255">
        <v>0</v>
      </c>
      <c r="O76" s="252"/>
    </row>
    <row r="77" spans="2:27" x14ac:dyDescent="0.25">
      <c r="B77" s="5" t="s">
        <v>22</v>
      </c>
      <c r="C77" s="6">
        <f>SUM(C46:C76)</f>
        <v>314</v>
      </c>
      <c r="D77" s="105">
        <f t="shared" ref="D77" si="3">SUM(D46:D76)</f>
        <v>245</v>
      </c>
      <c r="E77" s="105">
        <f t="shared" ref="E77" si="4">SUM(E46:E76)</f>
        <v>384</v>
      </c>
      <c r="F77" s="105">
        <f t="shared" ref="F77" si="5">SUM(F46:F76)</f>
        <v>362</v>
      </c>
      <c r="G77" s="105">
        <f t="shared" ref="G77" si="6">SUM(G46:G76)</f>
        <v>165</v>
      </c>
      <c r="H77" s="105">
        <f t="shared" ref="H77" si="7">SUM(H46:H76)</f>
        <v>0</v>
      </c>
      <c r="I77" s="105">
        <f t="shared" ref="I77" si="8">SUM(I46:I76)</f>
        <v>37</v>
      </c>
      <c r="J77" s="105">
        <f t="shared" ref="J77" si="9">SUM(J46:J76)</f>
        <v>0</v>
      </c>
      <c r="K77" s="105">
        <f t="shared" ref="K77" si="10">SUM(K46:K76)</f>
        <v>0</v>
      </c>
      <c r="L77" s="105">
        <f t="shared" ref="L77" si="11">SUM(L46:L76)</f>
        <v>121</v>
      </c>
      <c r="M77" s="105">
        <f t="shared" ref="M77" si="12">SUM(M46:M76)</f>
        <v>0</v>
      </c>
      <c r="N77" s="106">
        <f t="shared" ref="N77" si="13">SUM(N46:N76)</f>
        <v>0</v>
      </c>
      <c r="O77" s="21"/>
    </row>
    <row r="78" spans="2:27" x14ac:dyDescent="0.25">
      <c r="B78" s="107" t="s">
        <v>23</v>
      </c>
      <c r="C78" s="102">
        <f>C77/$T$3</f>
        <v>31.4</v>
      </c>
      <c r="D78" s="101">
        <f t="shared" ref="D78" si="14">D77/$T$3</f>
        <v>24.5</v>
      </c>
      <c r="E78" s="101">
        <f t="shared" ref="E78" si="15">E77/$T$3</f>
        <v>38.4</v>
      </c>
      <c r="F78" s="101">
        <f t="shared" ref="F78" si="16">F77/$T$3</f>
        <v>36.200000000000003</v>
      </c>
      <c r="G78" s="101">
        <f t="shared" ref="G78" si="17">G77/$T$3</f>
        <v>16.5</v>
      </c>
      <c r="H78" s="101">
        <f t="shared" ref="H78" si="18">H77/$T$3</f>
        <v>0</v>
      </c>
      <c r="I78" s="101">
        <f t="shared" ref="I78" si="19">I77/$T$3</f>
        <v>3.7</v>
      </c>
      <c r="J78" s="101">
        <f t="shared" ref="J78" si="20">J77/$T$3</f>
        <v>0</v>
      </c>
      <c r="K78" s="101">
        <f t="shared" ref="K78" si="21">K77/$T$3</f>
        <v>0</v>
      </c>
      <c r="L78" s="101">
        <f t="shared" ref="L78" si="22">L77/$T$3</f>
        <v>12.1</v>
      </c>
      <c r="M78" s="101">
        <f t="shared" ref="M78" si="23">M77/$T$3</f>
        <v>0</v>
      </c>
      <c r="N78" s="108">
        <f t="shared" ref="N78" si="24">N77/$T$3</f>
        <v>0</v>
      </c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</row>
    <row r="79" spans="2:27" x14ac:dyDescent="0.25">
      <c r="B79" s="107" t="s">
        <v>18</v>
      </c>
      <c r="C79" s="109">
        <f>$T$4*((C78)^$T$5)</f>
        <v>240.00295839047166</v>
      </c>
      <c r="D79" s="110">
        <f t="shared" ref="D79" si="25">$T$4*((D78)^$T$5)</f>
        <v>171.2608709964158</v>
      </c>
      <c r="E79" s="110">
        <f t="shared" ref="E79" si="26">$T$4*((E78)^$T$5)</f>
        <v>315.56057506134653</v>
      </c>
      <c r="F79" s="110">
        <f t="shared" ref="F79" si="27">$T$4*((F78)^$T$5)</f>
        <v>291.22987889105559</v>
      </c>
      <c r="G79" s="110">
        <f t="shared" ref="G79" si="28">$T$4*((G78)^$T$5)</f>
        <v>100.03925245920817</v>
      </c>
      <c r="H79" s="110">
        <f t="shared" ref="H79" si="29">$T$4*((H78)^$T$5)</f>
        <v>0</v>
      </c>
      <c r="I79" s="110">
        <f t="shared" ref="I79" si="30">$T$4*((I78)^$T$5)</f>
        <v>13.096239792379007</v>
      </c>
      <c r="J79" s="110">
        <f t="shared" ref="J79" si="31">$T$4*((J78)^$T$5)</f>
        <v>0</v>
      </c>
      <c r="K79" s="110">
        <f t="shared" ref="K79" si="32">$T$4*((K78)^$T$5)</f>
        <v>0</v>
      </c>
      <c r="L79" s="110">
        <f t="shared" ref="L79" si="33">$T$4*((L78)^$T$5)</f>
        <v>65.611562042614082</v>
      </c>
      <c r="M79" s="110">
        <f t="shared" ref="M79" si="34">$T$4*((M78)^$T$5)</f>
        <v>0</v>
      </c>
      <c r="N79" s="111">
        <f t="shared" ref="N79" si="35">$T$4*((N78)^$T$5)</f>
        <v>0</v>
      </c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</row>
    <row r="80" spans="2:27" ht="15.75" thickBot="1" x14ac:dyDescent="0.3">
      <c r="B80" s="112" t="s">
        <v>19</v>
      </c>
      <c r="C80" s="341">
        <f>SUM(C79:N79)</f>
        <v>1196.8013376334907</v>
      </c>
      <c r="D80" s="341"/>
      <c r="E80" s="341"/>
      <c r="F80" s="341"/>
      <c r="G80" s="341"/>
      <c r="H80" s="341"/>
      <c r="I80" s="341"/>
      <c r="J80" s="341"/>
      <c r="K80" s="341"/>
      <c r="L80" s="341"/>
      <c r="M80" s="341"/>
      <c r="N80" s="342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</row>
    <row r="81" spans="2:27" x14ac:dyDescent="0.25"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3" spans="2:27" ht="15.75" thickBot="1" x14ac:dyDescent="0.3">
      <c r="B83" s="235" t="s">
        <v>24</v>
      </c>
      <c r="O83" s="21"/>
      <c r="P83" s="21"/>
      <c r="Q83" s="21"/>
      <c r="R83" s="21"/>
      <c r="S83" s="21"/>
    </row>
    <row r="84" spans="2:27" x14ac:dyDescent="0.25">
      <c r="B84" s="347" t="s">
        <v>0</v>
      </c>
      <c r="C84" s="356" t="s">
        <v>7</v>
      </c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8"/>
      <c r="O84" s="240"/>
      <c r="P84" s="252"/>
      <c r="Q84" s="240"/>
      <c r="R84" s="252"/>
      <c r="S84" s="240"/>
    </row>
    <row r="85" spans="2:27" ht="15.75" thickBot="1" x14ac:dyDescent="0.3">
      <c r="B85" s="348"/>
      <c r="C85" s="243" t="s">
        <v>1</v>
      </c>
      <c r="D85" s="243" t="s">
        <v>2</v>
      </c>
      <c r="E85" s="243" t="s">
        <v>3</v>
      </c>
      <c r="F85" s="243" t="s">
        <v>4</v>
      </c>
      <c r="G85" s="243" t="s">
        <v>5</v>
      </c>
      <c r="H85" s="243" t="s">
        <v>6</v>
      </c>
      <c r="I85" s="243" t="s">
        <v>8</v>
      </c>
      <c r="J85" s="243" t="s">
        <v>9</v>
      </c>
      <c r="K85" s="243" t="s">
        <v>10</v>
      </c>
      <c r="L85" s="243" t="s">
        <v>11</v>
      </c>
      <c r="M85" s="243" t="s">
        <v>12</v>
      </c>
      <c r="N85" s="52" t="s">
        <v>13</v>
      </c>
      <c r="P85" s="252"/>
      <c r="Q85" s="21"/>
      <c r="R85" s="252"/>
    </row>
    <row r="86" spans="2:27" x14ac:dyDescent="0.25">
      <c r="B86" s="244">
        <v>1</v>
      </c>
      <c r="C86" s="246">
        <v>0</v>
      </c>
      <c r="D86" s="246">
        <v>2</v>
      </c>
      <c r="E86" s="246">
        <v>0</v>
      </c>
      <c r="F86" s="246">
        <v>40</v>
      </c>
      <c r="G86" s="247">
        <v>0</v>
      </c>
      <c r="H86" s="247">
        <v>0</v>
      </c>
      <c r="I86" s="247">
        <v>0</v>
      </c>
      <c r="J86" s="247">
        <v>0</v>
      </c>
      <c r="K86" s="247">
        <v>0</v>
      </c>
      <c r="L86" s="247">
        <v>0</v>
      </c>
      <c r="M86" s="246">
        <v>20</v>
      </c>
      <c r="N86" s="248">
        <v>15</v>
      </c>
      <c r="P86" s="252"/>
      <c r="Q86" s="21"/>
      <c r="R86" s="252"/>
    </row>
    <row r="87" spans="2:27" x14ac:dyDescent="0.25">
      <c r="B87" s="244">
        <v>2</v>
      </c>
      <c r="C87" s="246">
        <v>70</v>
      </c>
      <c r="D87" s="246">
        <v>0</v>
      </c>
      <c r="E87" s="246">
        <v>0</v>
      </c>
      <c r="F87" s="246">
        <v>37</v>
      </c>
      <c r="G87" s="246">
        <v>11</v>
      </c>
      <c r="H87" s="246">
        <v>0</v>
      </c>
      <c r="I87" s="246">
        <v>0</v>
      </c>
      <c r="J87" s="246">
        <v>0</v>
      </c>
      <c r="K87" s="246">
        <v>0</v>
      </c>
      <c r="L87" s="246">
        <v>0</v>
      </c>
      <c r="M87" s="246">
        <v>0</v>
      </c>
      <c r="N87" s="248">
        <v>32</v>
      </c>
      <c r="P87" s="252"/>
      <c r="Q87" s="21"/>
      <c r="R87" s="252"/>
    </row>
    <row r="88" spans="2:27" x14ac:dyDescent="0.25">
      <c r="B88" s="244">
        <v>3</v>
      </c>
      <c r="C88" s="246">
        <v>0</v>
      </c>
      <c r="D88" s="246">
        <v>23</v>
      </c>
      <c r="E88" s="246">
        <v>0</v>
      </c>
      <c r="F88" s="246">
        <v>0</v>
      </c>
      <c r="G88" s="246">
        <v>0</v>
      </c>
      <c r="H88" s="246">
        <v>0</v>
      </c>
      <c r="I88" s="246">
        <v>0</v>
      </c>
      <c r="J88" s="246">
        <v>0</v>
      </c>
      <c r="K88" s="246">
        <v>0</v>
      </c>
      <c r="L88" s="246">
        <v>0</v>
      </c>
      <c r="M88" s="246">
        <v>8</v>
      </c>
      <c r="N88" s="248">
        <v>10</v>
      </c>
      <c r="P88" s="252"/>
      <c r="Q88" s="21"/>
      <c r="R88" s="252"/>
    </row>
    <row r="89" spans="2:27" x14ac:dyDescent="0.25">
      <c r="B89" s="244">
        <v>4</v>
      </c>
      <c r="C89" s="246">
        <v>4</v>
      </c>
      <c r="D89" s="246">
        <v>9</v>
      </c>
      <c r="E89" s="246">
        <v>0</v>
      </c>
      <c r="F89" s="246">
        <v>6</v>
      </c>
      <c r="G89" s="246">
        <v>0</v>
      </c>
      <c r="H89" s="246">
        <v>0</v>
      </c>
      <c r="I89" s="246">
        <v>0</v>
      </c>
      <c r="J89" s="246">
        <v>0</v>
      </c>
      <c r="K89" s="246">
        <v>0</v>
      </c>
      <c r="L89" s="246">
        <v>0</v>
      </c>
      <c r="M89" s="246">
        <v>78</v>
      </c>
      <c r="N89" s="248">
        <v>0</v>
      </c>
      <c r="P89" s="252"/>
      <c r="Q89" s="21"/>
      <c r="R89" s="252"/>
    </row>
    <row r="90" spans="2:27" x14ac:dyDescent="0.25">
      <c r="B90" s="244">
        <v>5</v>
      </c>
      <c r="C90" s="246">
        <v>22</v>
      </c>
      <c r="D90" s="246">
        <v>16</v>
      </c>
      <c r="E90" s="246">
        <v>1</v>
      </c>
      <c r="F90" s="246">
        <v>4</v>
      </c>
      <c r="G90" s="246">
        <v>0</v>
      </c>
      <c r="H90" s="246">
        <v>0</v>
      </c>
      <c r="I90" s="246">
        <v>0</v>
      </c>
      <c r="J90" s="246">
        <v>0</v>
      </c>
      <c r="K90" s="246">
        <v>0</v>
      </c>
      <c r="L90" s="246">
        <v>0</v>
      </c>
      <c r="M90" s="246">
        <v>0</v>
      </c>
      <c r="N90" s="248">
        <v>30</v>
      </c>
      <c r="P90" s="252"/>
      <c r="Q90" s="21"/>
      <c r="R90" s="252"/>
    </row>
    <row r="91" spans="2:27" x14ac:dyDescent="0.25">
      <c r="B91" s="244">
        <v>6</v>
      </c>
      <c r="C91" s="246">
        <v>0</v>
      </c>
      <c r="D91" s="246">
        <v>0</v>
      </c>
      <c r="E91" s="246">
        <v>46</v>
      </c>
      <c r="F91" s="246">
        <v>21</v>
      </c>
      <c r="G91" s="246">
        <v>25</v>
      </c>
      <c r="H91" s="246">
        <v>0</v>
      </c>
      <c r="I91" s="246">
        <v>0</v>
      </c>
      <c r="J91" s="246">
        <v>0</v>
      </c>
      <c r="K91" s="246">
        <v>0</v>
      </c>
      <c r="L91" s="246">
        <v>0</v>
      </c>
      <c r="M91" s="246">
        <v>0</v>
      </c>
      <c r="N91" s="248">
        <v>14</v>
      </c>
      <c r="P91" s="252"/>
      <c r="Q91" s="21"/>
      <c r="R91" s="252"/>
    </row>
    <row r="92" spans="2:27" x14ac:dyDescent="0.25">
      <c r="B92" s="244">
        <v>7</v>
      </c>
      <c r="C92" s="246">
        <v>0</v>
      </c>
      <c r="D92" s="246">
        <v>0</v>
      </c>
      <c r="E92" s="246">
        <v>0</v>
      </c>
      <c r="F92" s="246">
        <v>0</v>
      </c>
      <c r="G92" s="246">
        <v>0</v>
      </c>
      <c r="H92" s="246">
        <v>0</v>
      </c>
      <c r="I92" s="246">
        <v>0</v>
      </c>
      <c r="J92" s="246">
        <v>0</v>
      </c>
      <c r="K92" s="246">
        <v>0</v>
      </c>
      <c r="L92" s="246">
        <v>0</v>
      </c>
      <c r="M92" s="246">
        <v>0</v>
      </c>
      <c r="N92" s="248">
        <v>31</v>
      </c>
      <c r="P92" s="252"/>
      <c r="Q92" s="21"/>
      <c r="R92" s="252"/>
    </row>
    <row r="93" spans="2:27" x14ac:dyDescent="0.25">
      <c r="B93" s="244">
        <v>8</v>
      </c>
      <c r="C93" s="246">
        <v>39</v>
      </c>
      <c r="D93" s="246">
        <v>32</v>
      </c>
      <c r="E93" s="246">
        <v>0</v>
      </c>
      <c r="F93" s="246">
        <v>25</v>
      </c>
      <c r="G93" s="246">
        <v>0</v>
      </c>
      <c r="H93" s="246">
        <v>27</v>
      </c>
      <c r="I93" s="246">
        <v>0</v>
      </c>
      <c r="J93" s="246">
        <v>0</v>
      </c>
      <c r="K93" s="246">
        <v>0</v>
      </c>
      <c r="L93" s="246">
        <v>0</v>
      </c>
      <c r="M93" s="246">
        <v>0</v>
      </c>
      <c r="N93" s="248">
        <v>0</v>
      </c>
      <c r="P93" s="252"/>
      <c r="Q93" s="21"/>
      <c r="R93" s="252"/>
    </row>
    <row r="94" spans="2:27" x14ac:dyDescent="0.25">
      <c r="B94" s="244">
        <v>9</v>
      </c>
      <c r="C94" s="246">
        <v>0</v>
      </c>
      <c r="D94" s="246">
        <v>0</v>
      </c>
      <c r="E94" s="246">
        <v>0</v>
      </c>
      <c r="F94" s="246">
        <v>4</v>
      </c>
      <c r="G94" s="246">
        <v>0</v>
      </c>
      <c r="H94" s="246">
        <v>15</v>
      </c>
      <c r="I94" s="246">
        <v>0</v>
      </c>
      <c r="J94" s="246">
        <v>0</v>
      </c>
      <c r="K94" s="246">
        <v>0</v>
      </c>
      <c r="L94" s="246">
        <v>8</v>
      </c>
      <c r="M94" s="246">
        <v>0</v>
      </c>
      <c r="N94" s="248">
        <v>0</v>
      </c>
      <c r="P94" s="252"/>
      <c r="Q94" s="21"/>
      <c r="R94" s="252"/>
    </row>
    <row r="95" spans="2:27" x14ac:dyDescent="0.25">
      <c r="B95" s="244">
        <v>10</v>
      </c>
      <c r="C95" s="246">
        <v>53</v>
      </c>
      <c r="D95" s="246">
        <v>0</v>
      </c>
      <c r="E95" s="246">
        <v>31</v>
      </c>
      <c r="F95" s="246">
        <v>0</v>
      </c>
      <c r="G95" s="246">
        <v>0</v>
      </c>
      <c r="H95" s="246">
        <v>0</v>
      </c>
      <c r="I95" s="246">
        <v>0</v>
      </c>
      <c r="J95" s="246">
        <v>0</v>
      </c>
      <c r="K95" s="246">
        <v>0</v>
      </c>
      <c r="L95" s="246">
        <v>0</v>
      </c>
      <c r="M95" s="246">
        <v>12</v>
      </c>
      <c r="N95" s="248">
        <v>0</v>
      </c>
      <c r="P95" s="252"/>
      <c r="Q95" s="21"/>
      <c r="R95" s="252"/>
    </row>
    <row r="96" spans="2:27" x14ac:dyDescent="0.25">
      <c r="B96" s="244">
        <v>11</v>
      </c>
      <c r="C96" s="246">
        <v>34</v>
      </c>
      <c r="D96" s="246">
        <v>0</v>
      </c>
      <c r="E96" s="246">
        <v>0</v>
      </c>
      <c r="F96" s="246">
        <v>0</v>
      </c>
      <c r="G96" s="246">
        <v>0</v>
      </c>
      <c r="H96" s="246">
        <v>0</v>
      </c>
      <c r="I96" s="246">
        <v>0</v>
      </c>
      <c r="J96" s="246">
        <v>0</v>
      </c>
      <c r="K96" s="246">
        <v>0</v>
      </c>
      <c r="L96" s="246">
        <v>0</v>
      </c>
      <c r="M96" s="246">
        <v>40</v>
      </c>
      <c r="N96" s="248">
        <v>21</v>
      </c>
      <c r="P96" s="252"/>
      <c r="Q96" s="21"/>
      <c r="R96" s="252"/>
    </row>
    <row r="97" spans="2:18" x14ac:dyDescent="0.25">
      <c r="B97" s="244">
        <v>12</v>
      </c>
      <c r="C97" s="246">
        <v>17</v>
      </c>
      <c r="D97" s="246">
        <v>0</v>
      </c>
      <c r="E97" s="246">
        <v>0</v>
      </c>
      <c r="F97" s="246">
        <v>25</v>
      </c>
      <c r="G97" s="246">
        <v>0</v>
      </c>
      <c r="H97" s="246">
        <v>0</v>
      </c>
      <c r="I97" s="246">
        <v>0</v>
      </c>
      <c r="J97" s="246">
        <v>0</v>
      </c>
      <c r="K97" s="246">
        <v>0</v>
      </c>
      <c r="L97" s="246">
        <v>0</v>
      </c>
      <c r="M97" s="246">
        <v>0</v>
      </c>
      <c r="N97" s="248">
        <v>0</v>
      </c>
      <c r="P97" s="252"/>
      <c r="Q97" s="21"/>
      <c r="R97" s="252"/>
    </row>
    <row r="98" spans="2:18" x14ac:dyDescent="0.25">
      <c r="B98" s="244">
        <v>13</v>
      </c>
      <c r="C98" s="246">
        <v>28</v>
      </c>
      <c r="D98" s="246">
        <v>37</v>
      </c>
      <c r="E98" s="246">
        <v>0</v>
      </c>
      <c r="F98" s="246">
        <v>0</v>
      </c>
      <c r="G98" s="246">
        <v>0</v>
      </c>
      <c r="H98" s="246">
        <v>0</v>
      </c>
      <c r="I98" s="246">
        <v>0</v>
      </c>
      <c r="J98" s="246">
        <v>0</v>
      </c>
      <c r="K98" s="246">
        <v>0</v>
      </c>
      <c r="L98" s="246">
        <v>9</v>
      </c>
      <c r="M98" s="246">
        <v>0</v>
      </c>
      <c r="N98" s="248">
        <v>12</v>
      </c>
      <c r="P98" s="252"/>
      <c r="Q98" s="21"/>
      <c r="R98" s="252"/>
    </row>
    <row r="99" spans="2:18" x14ac:dyDescent="0.25">
      <c r="B99" s="244">
        <v>14</v>
      </c>
      <c r="C99" s="246">
        <v>9</v>
      </c>
      <c r="D99" s="246">
        <v>0</v>
      </c>
      <c r="E99" s="246">
        <v>0</v>
      </c>
      <c r="F99" s="246">
        <v>0</v>
      </c>
      <c r="G99" s="246">
        <v>0</v>
      </c>
      <c r="H99" s="246">
        <v>0</v>
      </c>
      <c r="I99" s="246">
        <v>0</v>
      </c>
      <c r="J99" s="246">
        <v>0</v>
      </c>
      <c r="K99" s="246">
        <v>0</v>
      </c>
      <c r="L99" s="246">
        <v>0</v>
      </c>
      <c r="M99" s="246">
        <v>0</v>
      </c>
      <c r="N99" s="248">
        <v>6</v>
      </c>
      <c r="P99" s="252"/>
      <c r="Q99" s="21"/>
      <c r="R99" s="252"/>
    </row>
    <row r="100" spans="2:18" x14ac:dyDescent="0.25">
      <c r="B100" s="244">
        <v>15</v>
      </c>
      <c r="C100" s="246">
        <v>16</v>
      </c>
      <c r="D100" s="246">
        <v>0</v>
      </c>
      <c r="E100" s="246">
        <v>0</v>
      </c>
      <c r="F100" s="246">
        <v>47</v>
      </c>
      <c r="G100" s="246">
        <v>0</v>
      </c>
      <c r="H100" s="246">
        <v>0</v>
      </c>
      <c r="I100" s="246">
        <v>0</v>
      </c>
      <c r="J100" s="246">
        <v>0</v>
      </c>
      <c r="K100" s="246">
        <v>0</v>
      </c>
      <c r="L100" s="246">
        <v>7</v>
      </c>
      <c r="M100" s="246">
        <v>3</v>
      </c>
      <c r="N100" s="248">
        <v>0</v>
      </c>
      <c r="P100" s="252"/>
      <c r="Q100" s="21"/>
      <c r="R100" s="252"/>
    </row>
    <row r="101" spans="2:18" x14ac:dyDescent="0.25">
      <c r="B101" s="244">
        <v>16</v>
      </c>
      <c r="C101" s="246">
        <v>50</v>
      </c>
      <c r="D101" s="246">
        <v>0</v>
      </c>
      <c r="E101" s="246">
        <v>0</v>
      </c>
      <c r="F101" s="246">
        <v>0</v>
      </c>
      <c r="G101" s="246">
        <v>0</v>
      </c>
      <c r="H101" s="246">
        <v>0</v>
      </c>
      <c r="I101" s="246">
        <v>0</v>
      </c>
      <c r="J101" s="246">
        <v>0</v>
      </c>
      <c r="K101" s="246">
        <v>0</v>
      </c>
      <c r="L101" s="246">
        <v>15</v>
      </c>
      <c r="M101" s="246">
        <v>0</v>
      </c>
      <c r="N101" s="248">
        <v>8</v>
      </c>
      <c r="P101" s="252"/>
      <c r="Q101" s="21"/>
      <c r="R101" s="252"/>
    </row>
    <row r="102" spans="2:18" x14ac:dyDescent="0.25">
      <c r="B102" s="244">
        <v>17</v>
      </c>
      <c r="C102" s="246">
        <v>0</v>
      </c>
      <c r="D102" s="246">
        <v>17</v>
      </c>
      <c r="E102" s="246">
        <v>0</v>
      </c>
      <c r="F102" s="246">
        <v>5</v>
      </c>
      <c r="G102" s="246">
        <v>0</v>
      </c>
      <c r="H102" s="246">
        <v>0</v>
      </c>
      <c r="I102" s="246">
        <v>0</v>
      </c>
      <c r="J102" s="246">
        <v>0</v>
      </c>
      <c r="K102" s="246">
        <v>0</v>
      </c>
      <c r="L102" s="246">
        <v>17</v>
      </c>
      <c r="M102" s="246">
        <v>8</v>
      </c>
      <c r="N102" s="248">
        <v>0</v>
      </c>
      <c r="P102" s="252"/>
      <c r="Q102" s="21"/>
      <c r="R102" s="252"/>
    </row>
    <row r="103" spans="2:18" x14ac:dyDescent="0.25">
      <c r="B103" s="244">
        <v>18</v>
      </c>
      <c r="C103" s="246">
        <v>0</v>
      </c>
      <c r="D103" s="246">
        <v>0</v>
      </c>
      <c r="E103" s="246">
        <v>0</v>
      </c>
      <c r="F103" s="246">
        <v>0</v>
      </c>
      <c r="G103" s="246">
        <v>4</v>
      </c>
      <c r="H103" s="246">
        <v>0</v>
      </c>
      <c r="I103" s="246">
        <v>0</v>
      </c>
      <c r="J103" s="246">
        <v>0</v>
      </c>
      <c r="K103" s="246">
        <v>0</v>
      </c>
      <c r="L103" s="246">
        <v>9</v>
      </c>
      <c r="M103" s="246">
        <v>13</v>
      </c>
      <c r="N103" s="248">
        <v>0</v>
      </c>
      <c r="P103" s="252"/>
      <c r="Q103" s="21"/>
      <c r="R103" s="252"/>
    </row>
    <row r="104" spans="2:18" x14ac:dyDescent="0.25">
      <c r="B104" s="244">
        <v>19</v>
      </c>
      <c r="C104" s="246">
        <v>0</v>
      </c>
      <c r="D104" s="246">
        <v>0</v>
      </c>
      <c r="E104" s="246">
        <v>0</v>
      </c>
      <c r="F104" s="246">
        <v>0</v>
      </c>
      <c r="G104" s="246">
        <v>0</v>
      </c>
      <c r="H104" s="246">
        <v>0</v>
      </c>
      <c r="I104" s="246">
        <v>0</v>
      </c>
      <c r="J104" s="246">
        <v>0</v>
      </c>
      <c r="K104" s="246">
        <v>0</v>
      </c>
      <c r="L104" s="246">
        <v>0</v>
      </c>
      <c r="M104" s="246">
        <v>65</v>
      </c>
      <c r="N104" s="248">
        <v>9</v>
      </c>
      <c r="P104" s="252"/>
      <c r="Q104" s="21"/>
      <c r="R104" s="252"/>
    </row>
    <row r="105" spans="2:18" x14ac:dyDescent="0.25">
      <c r="B105" s="244">
        <v>20</v>
      </c>
      <c r="C105" s="246">
        <v>0</v>
      </c>
      <c r="D105" s="246">
        <v>32</v>
      </c>
      <c r="E105" s="246">
        <v>0</v>
      </c>
      <c r="F105" s="246">
        <v>0</v>
      </c>
      <c r="G105" s="246">
        <v>0</v>
      </c>
      <c r="H105" s="246">
        <v>0</v>
      </c>
      <c r="I105" s="246">
        <v>0</v>
      </c>
      <c r="J105" s="246">
        <v>0</v>
      </c>
      <c r="K105" s="246">
        <v>0</v>
      </c>
      <c r="L105" s="246">
        <v>0</v>
      </c>
      <c r="M105" s="246">
        <v>1</v>
      </c>
      <c r="N105" s="248">
        <v>0</v>
      </c>
      <c r="P105" s="252"/>
      <c r="Q105" s="21"/>
      <c r="R105" s="252"/>
    </row>
    <row r="106" spans="2:18" x14ac:dyDescent="0.25">
      <c r="B106" s="244">
        <v>21</v>
      </c>
      <c r="C106" s="246">
        <v>0</v>
      </c>
      <c r="D106" s="246">
        <v>0</v>
      </c>
      <c r="E106" s="246">
        <v>0</v>
      </c>
      <c r="F106" s="246">
        <v>0</v>
      </c>
      <c r="G106" s="246">
        <v>0</v>
      </c>
      <c r="H106" s="246">
        <v>0</v>
      </c>
      <c r="I106" s="246">
        <v>0</v>
      </c>
      <c r="J106" s="246">
        <v>0</v>
      </c>
      <c r="K106" s="246">
        <v>0</v>
      </c>
      <c r="L106" s="246">
        <v>0</v>
      </c>
      <c r="M106" s="246">
        <v>0</v>
      </c>
      <c r="N106" s="248">
        <v>0</v>
      </c>
      <c r="P106" s="252"/>
      <c r="Q106" s="21"/>
      <c r="R106" s="252"/>
    </row>
    <row r="107" spans="2:18" x14ac:dyDescent="0.25">
      <c r="B107" s="244">
        <v>22</v>
      </c>
      <c r="C107" s="246">
        <v>18</v>
      </c>
      <c r="D107" s="246">
        <v>104</v>
      </c>
      <c r="E107" s="246">
        <v>0</v>
      </c>
      <c r="F107" s="246">
        <v>0</v>
      </c>
      <c r="G107" s="246">
        <v>0</v>
      </c>
      <c r="H107" s="246">
        <v>0</v>
      </c>
      <c r="I107" s="246">
        <v>0</v>
      </c>
      <c r="J107" s="246">
        <v>0</v>
      </c>
      <c r="K107" s="246">
        <v>0</v>
      </c>
      <c r="L107" s="246">
        <v>0</v>
      </c>
      <c r="M107" s="246">
        <v>0</v>
      </c>
      <c r="N107" s="248">
        <v>4</v>
      </c>
      <c r="P107" s="252"/>
      <c r="Q107" s="21"/>
      <c r="R107" s="252"/>
    </row>
    <row r="108" spans="2:18" x14ac:dyDescent="0.25">
      <c r="B108" s="244">
        <v>23</v>
      </c>
      <c r="C108" s="246">
        <v>20</v>
      </c>
      <c r="D108" s="246">
        <v>0</v>
      </c>
      <c r="E108" s="246">
        <v>0</v>
      </c>
      <c r="F108" s="246">
        <v>0</v>
      </c>
      <c r="G108" s="246">
        <v>0</v>
      </c>
      <c r="H108" s="246">
        <v>0</v>
      </c>
      <c r="I108" s="246">
        <v>0</v>
      </c>
      <c r="J108" s="246">
        <v>0</v>
      </c>
      <c r="K108" s="246">
        <v>0</v>
      </c>
      <c r="L108" s="246">
        <v>0</v>
      </c>
      <c r="M108" s="246">
        <v>80</v>
      </c>
      <c r="N108" s="248">
        <v>8</v>
      </c>
      <c r="P108" s="252"/>
      <c r="Q108" s="21"/>
      <c r="R108" s="252"/>
    </row>
    <row r="109" spans="2:18" x14ac:dyDescent="0.25">
      <c r="B109" s="244">
        <v>24</v>
      </c>
      <c r="C109" s="246">
        <v>0</v>
      </c>
      <c r="D109" s="246">
        <v>0</v>
      </c>
      <c r="E109" s="246">
        <v>0</v>
      </c>
      <c r="F109" s="246">
        <v>0</v>
      </c>
      <c r="G109" s="246">
        <v>0</v>
      </c>
      <c r="H109" s="246">
        <v>0</v>
      </c>
      <c r="I109" s="246">
        <v>0</v>
      </c>
      <c r="J109" s="246">
        <v>0</v>
      </c>
      <c r="K109" s="246">
        <v>0</v>
      </c>
      <c r="L109" s="246">
        <v>0</v>
      </c>
      <c r="M109" s="246">
        <v>6</v>
      </c>
      <c r="N109" s="248">
        <v>3</v>
      </c>
      <c r="P109" s="252"/>
      <c r="Q109" s="21"/>
      <c r="R109" s="252"/>
    </row>
    <row r="110" spans="2:18" x14ac:dyDescent="0.25">
      <c r="B110" s="244">
        <v>25</v>
      </c>
      <c r="C110" s="246">
        <v>0</v>
      </c>
      <c r="D110" s="246">
        <v>0</v>
      </c>
      <c r="E110" s="246">
        <v>0</v>
      </c>
      <c r="F110" s="246">
        <v>0</v>
      </c>
      <c r="G110" s="246">
        <v>0</v>
      </c>
      <c r="H110" s="246">
        <v>0</v>
      </c>
      <c r="I110" s="246">
        <v>0</v>
      </c>
      <c r="J110" s="246">
        <v>0</v>
      </c>
      <c r="K110" s="246">
        <v>0</v>
      </c>
      <c r="L110" s="246">
        <v>0</v>
      </c>
      <c r="M110" s="246">
        <v>40</v>
      </c>
      <c r="N110" s="248">
        <v>14</v>
      </c>
      <c r="P110" s="252"/>
      <c r="Q110" s="21"/>
      <c r="R110" s="252"/>
    </row>
    <row r="111" spans="2:18" x14ac:dyDescent="0.25">
      <c r="B111" s="244">
        <v>26</v>
      </c>
      <c r="C111" s="246">
        <v>0</v>
      </c>
      <c r="D111" s="246">
        <v>0</v>
      </c>
      <c r="E111" s="246">
        <v>0</v>
      </c>
      <c r="F111" s="246">
        <v>0</v>
      </c>
      <c r="G111" s="246">
        <v>0</v>
      </c>
      <c r="H111" s="246">
        <v>0</v>
      </c>
      <c r="I111" s="246">
        <v>0</v>
      </c>
      <c r="J111" s="246">
        <v>0</v>
      </c>
      <c r="K111" s="246">
        <v>0</v>
      </c>
      <c r="L111" s="246">
        <v>0</v>
      </c>
      <c r="M111" s="246">
        <v>0</v>
      </c>
      <c r="N111" s="248">
        <v>0</v>
      </c>
      <c r="P111" s="252"/>
      <c r="Q111" s="21"/>
      <c r="R111" s="252"/>
    </row>
    <row r="112" spans="2:18" x14ac:dyDescent="0.25">
      <c r="B112" s="244">
        <v>27</v>
      </c>
      <c r="C112" s="246">
        <v>0</v>
      </c>
      <c r="D112" s="246">
        <v>27</v>
      </c>
      <c r="E112" s="246">
        <v>39</v>
      </c>
      <c r="F112" s="246">
        <v>0</v>
      </c>
      <c r="G112" s="246">
        <v>0</v>
      </c>
      <c r="H112" s="246">
        <v>0</v>
      </c>
      <c r="I112" s="246">
        <v>0</v>
      </c>
      <c r="J112" s="246">
        <v>0</v>
      </c>
      <c r="K112" s="246">
        <v>0</v>
      </c>
      <c r="L112" s="246">
        <v>0</v>
      </c>
      <c r="M112" s="246">
        <v>0</v>
      </c>
      <c r="N112" s="248">
        <v>0</v>
      </c>
      <c r="P112" s="252"/>
      <c r="Q112" s="21"/>
      <c r="R112" s="252"/>
    </row>
    <row r="113" spans="2:27" x14ac:dyDescent="0.25">
      <c r="B113" s="244">
        <v>28</v>
      </c>
      <c r="C113" s="246">
        <v>0</v>
      </c>
      <c r="D113" s="246">
        <v>0</v>
      </c>
      <c r="E113" s="246">
        <v>0</v>
      </c>
      <c r="F113" s="246">
        <v>0</v>
      </c>
      <c r="G113" s="246">
        <v>0</v>
      </c>
      <c r="H113" s="246">
        <v>0</v>
      </c>
      <c r="I113" s="246">
        <v>0</v>
      </c>
      <c r="J113" s="246">
        <v>0</v>
      </c>
      <c r="K113" s="246">
        <v>0</v>
      </c>
      <c r="L113" s="246">
        <v>0</v>
      </c>
      <c r="M113" s="246">
        <v>0</v>
      </c>
      <c r="N113" s="248">
        <v>40</v>
      </c>
      <c r="P113" s="252"/>
      <c r="Q113" s="21"/>
      <c r="R113" s="252"/>
    </row>
    <row r="114" spans="2:27" x14ac:dyDescent="0.25">
      <c r="B114" s="244">
        <v>29</v>
      </c>
      <c r="C114" s="246">
        <v>0</v>
      </c>
      <c r="D114" s="246">
        <v>0</v>
      </c>
      <c r="E114" s="246">
        <v>0</v>
      </c>
      <c r="F114" s="246">
        <v>0</v>
      </c>
      <c r="G114" s="246">
        <v>7</v>
      </c>
      <c r="H114" s="246">
        <v>0</v>
      </c>
      <c r="I114" s="246">
        <v>0</v>
      </c>
      <c r="J114" s="246">
        <v>0</v>
      </c>
      <c r="K114" s="246">
        <v>0</v>
      </c>
      <c r="L114" s="246">
        <v>0</v>
      </c>
      <c r="M114" s="246">
        <v>3</v>
      </c>
      <c r="N114" s="248">
        <v>13</v>
      </c>
      <c r="P114" s="252"/>
      <c r="Q114" s="21"/>
      <c r="R114" s="252"/>
    </row>
    <row r="115" spans="2:27" x14ac:dyDescent="0.25">
      <c r="B115" s="244">
        <v>30</v>
      </c>
      <c r="C115" s="246">
        <v>67</v>
      </c>
      <c r="D115" s="246"/>
      <c r="E115" s="246">
        <v>0</v>
      </c>
      <c r="F115" s="246">
        <v>0</v>
      </c>
      <c r="G115" s="246">
        <v>0</v>
      </c>
      <c r="H115" s="246">
        <v>0</v>
      </c>
      <c r="I115" s="246">
        <v>0</v>
      </c>
      <c r="J115" s="246">
        <v>0</v>
      </c>
      <c r="K115" s="246">
        <v>0</v>
      </c>
      <c r="L115" s="246">
        <v>0</v>
      </c>
      <c r="M115" s="246">
        <v>3</v>
      </c>
      <c r="N115" s="248">
        <v>0</v>
      </c>
      <c r="P115" s="252"/>
      <c r="Q115" s="21"/>
      <c r="R115" s="252"/>
    </row>
    <row r="116" spans="2:27" ht="15.75" thickBot="1" x14ac:dyDescent="0.3">
      <c r="B116" s="51">
        <v>31</v>
      </c>
      <c r="C116" s="243">
        <v>19</v>
      </c>
      <c r="D116" s="243"/>
      <c r="E116" s="243">
        <v>53</v>
      </c>
      <c r="F116" s="243"/>
      <c r="G116" s="243">
        <v>0</v>
      </c>
      <c r="H116" s="243"/>
      <c r="I116" s="243">
        <v>0</v>
      </c>
      <c r="J116" s="243">
        <v>0</v>
      </c>
      <c r="K116" s="243"/>
      <c r="L116" s="243">
        <v>0</v>
      </c>
      <c r="M116" s="243"/>
      <c r="N116" s="52">
        <v>0</v>
      </c>
      <c r="P116" s="252"/>
      <c r="Q116" s="21"/>
      <c r="R116" s="252"/>
    </row>
    <row r="117" spans="2:27" x14ac:dyDescent="0.25">
      <c r="B117" s="5" t="s">
        <v>22</v>
      </c>
      <c r="C117" s="6">
        <f>SUM(C86:C116)</f>
        <v>466</v>
      </c>
      <c r="D117" s="105">
        <f t="shared" ref="D117" si="36">SUM(D86:D116)</f>
        <v>299</v>
      </c>
      <c r="E117" s="105">
        <f t="shared" ref="E117" si="37">SUM(E86:E116)</f>
        <v>170</v>
      </c>
      <c r="F117" s="105">
        <f t="shared" ref="F117" si="38">SUM(F86:F116)</f>
        <v>214</v>
      </c>
      <c r="G117" s="105">
        <f t="shared" ref="G117" si="39">SUM(G86:G116)</f>
        <v>47</v>
      </c>
      <c r="H117" s="105">
        <f t="shared" ref="H117" si="40">SUM(H86:H116)</f>
        <v>42</v>
      </c>
      <c r="I117" s="105">
        <f t="shared" ref="I117" si="41">SUM(I86:I116)</f>
        <v>0</v>
      </c>
      <c r="J117" s="105">
        <f t="shared" ref="J117" si="42">SUM(J86:J116)</f>
        <v>0</v>
      </c>
      <c r="K117" s="105">
        <f t="shared" ref="K117" si="43">SUM(K86:K116)</f>
        <v>0</v>
      </c>
      <c r="L117" s="105">
        <f t="shared" ref="L117" si="44">SUM(L86:L116)</f>
        <v>65</v>
      </c>
      <c r="M117" s="105">
        <f t="shared" ref="M117" si="45">SUM(M86:M116)</f>
        <v>380</v>
      </c>
      <c r="N117" s="106">
        <f t="shared" ref="N117" si="46">SUM(N86:N116)</f>
        <v>270</v>
      </c>
      <c r="P117" s="21"/>
      <c r="Q117" s="21"/>
      <c r="R117" s="21"/>
    </row>
    <row r="118" spans="2:27" x14ac:dyDescent="0.25">
      <c r="B118" s="107" t="s">
        <v>23</v>
      </c>
      <c r="C118" s="102">
        <f>C117/$T$3</f>
        <v>46.6</v>
      </c>
      <c r="D118" s="101">
        <f t="shared" ref="D118" si="47">D117/$T$3</f>
        <v>29.9</v>
      </c>
      <c r="E118" s="101">
        <f t="shared" ref="E118" si="48">E117/$T$3</f>
        <v>17</v>
      </c>
      <c r="F118" s="101">
        <f t="shared" ref="F118" si="49">F117/$T$3</f>
        <v>21.4</v>
      </c>
      <c r="G118" s="101">
        <f t="shared" ref="G118" si="50">G117/$T$3</f>
        <v>4.7</v>
      </c>
      <c r="H118" s="101">
        <f t="shared" ref="H118" si="51">H117/$T$3</f>
        <v>4.2</v>
      </c>
      <c r="I118" s="101">
        <f t="shared" ref="I118" si="52">I117/$T$3</f>
        <v>0</v>
      </c>
      <c r="J118" s="101">
        <f t="shared" ref="J118" si="53">J117/$T$3</f>
        <v>0</v>
      </c>
      <c r="K118" s="101">
        <f t="shared" ref="K118" si="54">K117/$T$3</f>
        <v>0</v>
      </c>
      <c r="L118" s="101">
        <f t="shared" ref="L118" si="55">L117/$T$3</f>
        <v>6.5</v>
      </c>
      <c r="M118" s="101">
        <f t="shared" ref="M118" si="56">M117/$T$3</f>
        <v>38</v>
      </c>
      <c r="N118" s="108">
        <f t="shared" ref="N118" si="57">N117/$T$3</f>
        <v>27</v>
      </c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</row>
    <row r="119" spans="2:27" x14ac:dyDescent="0.25">
      <c r="B119" s="107" t="s">
        <v>18</v>
      </c>
      <c r="C119" s="109">
        <f>$T$4*((C118)^$T$5)</f>
        <v>410.57936658894107</v>
      </c>
      <c r="D119" s="110">
        <f t="shared" ref="D119" si="58">$T$4*((D118)^$T$5)</f>
        <v>224.54587939605992</v>
      </c>
      <c r="E119" s="110">
        <f t="shared" ref="E119" si="59">$T$4*((E118)^$T$5)</f>
        <v>104.18442681987614</v>
      </c>
      <c r="F119" s="110">
        <f t="shared" ref="F119" si="60">$T$4*((F118)^$T$5)</f>
        <v>142.48036054696126</v>
      </c>
      <c r="G119" s="110">
        <f t="shared" ref="G119" si="61">$T$4*((G118)^$T$5)</f>
        <v>18.131985391141178</v>
      </c>
      <c r="H119" s="110">
        <f t="shared" ref="H119" si="62">$T$4*((H118)^$T$5)</f>
        <v>15.560061480371704</v>
      </c>
      <c r="I119" s="110">
        <f t="shared" ref="I119" si="63">$T$4*((I118)^$T$5)</f>
        <v>0</v>
      </c>
      <c r="J119" s="110">
        <f t="shared" ref="J119" si="64">$T$4*((J118)^$T$5)</f>
        <v>0</v>
      </c>
      <c r="K119" s="110">
        <f t="shared" ref="K119" si="65">$T$4*((K118)^$T$5)</f>
        <v>0</v>
      </c>
      <c r="L119" s="110">
        <f t="shared" ref="L119" si="66">$T$4*((L118)^$T$5)</f>
        <v>28.180872738118453</v>
      </c>
      <c r="M119" s="110">
        <f t="shared" ref="M119" si="67">$T$4*((M118)^$T$5)</f>
        <v>311.09853436591794</v>
      </c>
      <c r="N119" s="111">
        <f t="shared" ref="N119" si="68">$T$4*((N118)^$T$5)</f>
        <v>195.45509369988298</v>
      </c>
      <c r="P119" s="234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</row>
    <row r="120" spans="2:27" ht="15.75" thickBot="1" x14ac:dyDescent="0.3">
      <c r="B120" s="112" t="s">
        <v>19</v>
      </c>
      <c r="C120" s="341">
        <f>SUM(C119:N119)</f>
        <v>1450.2165810272706</v>
      </c>
      <c r="D120" s="341"/>
      <c r="E120" s="341"/>
      <c r="F120" s="341"/>
      <c r="G120" s="341"/>
      <c r="H120" s="341"/>
      <c r="I120" s="341"/>
      <c r="J120" s="341"/>
      <c r="K120" s="341"/>
      <c r="L120" s="341"/>
      <c r="M120" s="341"/>
      <c r="N120" s="342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</row>
    <row r="121" spans="2:27" x14ac:dyDescent="0.25"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</row>
    <row r="122" spans="2:27" x14ac:dyDescent="0.25">
      <c r="P122" s="21"/>
      <c r="Q122" s="21"/>
      <c r="R122" s="21"/>
    </row>
    <row r="123" spans="2:27" ht="15.75" thickBot="1" x14ac:dyDescent="0.3">
      <c r="B123" s="235" t="s">
        <v>25</v>
      </c>
      <c r="P123" s="21"/>
      <c r="Q123" s="21"/>
      <c r="R123" s="21"/>
    </row>
    <row r="124" spans="2:27" ht="15.75" thickBot="1" x14ac:dyDescent="0.3">
      <c r="B124" s="347" t="s">
        <v>0</v>
      </c>
      <c r="C124" s="349" t="s">
        <v>7</v>
      </c>
      <c r="D124" s="350"/>
      <c r="E124" s="350"/>
      <c r="F124" s="350"/>
      <c r="G124" s="350"/>
      <c r="H124" s="350"/>
      <c r="I124" s="350"/>
      <c r="J124" s="350"/>
      <c r="K124" s="350"/>
      <c r="L124" s="350"/>
      <c r="M124" s="350"/>
      <c r="N124" s="351"/>
      <c r="O124" s="256"/>
      <c r="Q124" s="21"/>
      <c r="R124" s="21"/>
    </row>
    <row r="125" spans="2:27" ht="15.75" thickBot="1" x14ac:dyDescent="0.3">
      <c r="B125" s="348"/>
      <c r="C125" s="243" t="s">
        <v>1</v>
      </c>
      <c r="D125" s="243" t="s">
        <v>2</v>
      </c>
      <c r="E125" s="243" t="s">
        <v>3</v>
      </c>
      <c r="F125" s="243" t="s">
        <v>4</v>
      </c>
      <c r="G125" s="243" t="s">
        <v>5</v>
      </c>
      <c r="H125" s="243" t="s">
        <v>6</v>
      </c>
      <c r="I125" s="243" t="s">
        <v>8</v>
      </c>
      <c r="J125" s="243" t="s">
        <v>9</v>
      </c>
      <c r="K125" s="243" t="s">
        <v>10</v>
      </c>
      <c r="L125" s="243" t="s">
        <v>11</v>
      </c>
      <c r="M125" s="243" t="s">
        <v>12</v>
      </c>
      <c r="N125" s="52" t="s">
        <v>13</v>
      </c>
      <c r="Q125" s="21"/>
      <c r="R125" s="21"/>
    </row>
    <row r="126" spans="2:27" x14ac:dyDescent="0.25">
      <c r="B126" s="244">
        <v>1</v>
      </c>
      <c r="C126" s="246">
        <v>15</v>
      </c>
      <c r="D126" s="246">
        <v>0</v>
      </c>
      <c r="E126" s="246">
        <v>4</v>
      </c>
      <c r="F126" s="246">
        <v>0</v>
      </c>
      <c r="G126" s="246">
        <v>0</v>
      </c>
      <c r="H126" s="246">
        <v>8</v>
      </c>
      <c r="I126" s="246">
        <v>0</v>
      </c>
      <c r="J126" s="247">
        <v>0</v>
      </c>
      <c r="K126" s="247">
        <v>0</v>
      </c>
      <c r="L126" s="246">
        <v>0</v>
      </c>
      <c r="M126" s="246">
        <v>0</v>
      </c>
      <c r="N126" s="248">
        <v>0</v>
      </c>
      <c r="Q126" s="21"/>
      <c r="R126" s="21"/>
    </row>
    <row r="127" spans="2:27" x14ac:dyDescent="0.25">
      <c r="B127" s="244">
        <v>2</v>
      </c>
      <c r="C127" s="246">
        <v>5</v>
      </c>
      <c r="D127" s="246">
        <v>9</v>
      </c>
      <c r="E127" s="246">
        <v>0</v>
      </c>
      <c r="F127" s="246">
        <v>37</v>
      </c>
      <c r="G127" s="246">
        <v>5</v>
      </c>
      <c r="H127" s="246">
        <v>0</v>
      </c>
      <c r="I127" s="246">
        <v>0</v>
      </c>
      <c r="J127" s="246">
        <v>0</v>
      </c>
      <c r="K127" s="246">
        <v>0</v>
      </c>
      <c r="L127" s="246">
        <v>0</v>
      </c>
      <c r="M127" s="246">
        <v>0</v>
      </c>
      <c r="N127" s="248">
        <v>0</v>
      </c>
      <c r="Q127" s="21"/>
      <c r="R127" s="21"/>
    </row>
    <row r="128" spans="2:27" x14ac:dyDescent="0.25">
      <c r="B128" s="244">
        <v>3</v>
      </c>
      <c r="C128" s="246">
        <v>25</v>
      </c>
      <c r="D128" s="246">
        <v>0</v>
      </c>
      <c r="E128" s="246">
        <v>0</v>
      </c>
      <c r="F128" s="246">
        <v>17</v>
      </c>
      <c r="G128" s="246">
        <v>0</v>
      </c>
      <c r="H128" s="246">
        <v>3</v>
      </c>
      <c r="I128" s="246">
        <v>0</v>
      </c>
      <c r="J128" s="246">
        <v>0</v>
      </c>
      <c r="K128" s="246">
        <v>0</v>
      </c>
      <c r="L128" s="246">
        <v>0</v>
      </c>
      <c r="M128" s="246">
        <v>0</v>
      </c>
      <c r="N128" s="248">
        <v>6</v>
      </c>
      <c r="Q128" s="21"/>
      <c r="R128" s="21"/>
    </row>
    <row r="129" spans="2:18" x14ac:dyDescent="0.25">
      <c r="B129" s="244">
        <v>4</v>
      </c>
      <c r="C129" s="246">
        <v>0</v>
      </c>
      <c r="D129" s="246">
        <v>0</v>
      </c>
      <c r="E129" s="246">
        <v>0</v>
      </c>
      <c r="F129" s="246">
        <v>0</v>
      </c>
      <c r="G129" s="246">
        <v>0</v>
      </c>
      <c r="H129" s="246">
        <v>0</v>
      </c>
      <c r="I129" s="246">
        <v>0</v>
      </c>
      <c r="J129" s="246">
        <v>0</v>
      </c>
      <c r="K129" s="246">
        <v>0</v>
      </c>
      <c r="L129" s="246">
        <v>0</v>
      </c>
      <c r="M129" s="246">
        <v>0</v>
      </c>
      <c r="N129" s="248">
        <v>0</v>
      </c>
      <c r="Q129" s="21"/>
      <c r="R129" s="21"/>
    </row>
    <row r="130" spans="2:18" x14ac:dyDescent="0.25">
      <c r="B130" s="244">
        <v>5</v>
      </c>
      <c r="C130" s="246">
        <v>5</v>
      </c>
      <c r="D130" s="246">
        <v>0</v>
      </c>
      <c r="E130" s="246">
        <v>25</v>
      </c>
      <c r="F130" s="246">
        <v>0</v>
      </c>
      <c r="G130" s="246">
        <v>0</v>
      </c>
      <c r="H130" s="246">
        <v>0</v>
      </c>
      <c r="I130" s="246">
        <v>0</v>
      </c>
      <c r="J130" s="246">
        <v>0</v>
      </c>
      <c r="K130" s="246">
        <v>0</v>
      </c>
      <c r="L130" s="246">
        <v>0</v>
      </c>
      <c r="M130" s="246">
        <v>0</v>
      </c>
      <c r="N130" s="248">
        <v>0</v>
      </c>
      <c r="Q130" s="21"/>
      <c r="R130" s="21"/>
    </row>
    <row r="131" spans="2:18" x14ac:dyDescent="0.25">
      <c r="B131" s="244">
        <v>6</v>
      </c>
      <c r="C131" s="246">
        <v>68</v>
      </c>
      <c r="D131" s="246">
        <v>18</v>
      </c>
      <c r="E131" s="246">
        <v>0</v>
      </c>
      <c r="F131" s="246">
        <v>6</v>
      </c>
      <c r="G131" s="246">
        <v>0</v>
      </c>
      <c r="H131" s="246">
        <v>54</v>
      </c>
      <c r="I131" s="246">
        <v>0</v>
      </c>
      <c r="J131" s="246">
        <v>0</v>
      </c>
      <c r="K131" s="246">
        <v>0</v>
      </c>
      <c r="L131" s="246">
        <v>0</v>
      </c>
      <c r="M131" s="246">
        <v>0</v>
      </c>
      <c r="N131" s="248">
        <v>0</v>
      </c>
      <c r="Q131" s="21"/>
      <c r="R131" s="21"/>
    </row>
    <row r="132" spans="2:18" x14ac:dyDescent="0.25">
      <c r="B132" s="244">
        <v>7</v>
      </c>
      <c r="C132" s="246">
        <v>7</v>
      </c>
      <c r="D132" s="246">
        <v>23</v>
      </c>
      <c r="E132" s="246">
        <v>24</v>
      </c>
      <c r="F132" s="246">
        <v>14</v>
      </c>
      <c r="G132" s="246">
        <v>0</v>
      </c>
      <c r="H132" s="246">
        <v>0</v>
      </c>
      <c r="I132" s="246">
        <v>0</v>
      </c>
      <c r="J132" s="246">
        <v>0</v>
      </c>
      <c r="K132" s="246">
        <v>0</v>
      </c>
      <c r="L132" s="246">
        <v>0</v>
      </c>
      <c r="M132" s="246">
        <v>0</v>
      </c>
      <c r="N132" s="248">
        <v>0</v>
      </c>
      <c r="Q132" s="21"/>
      <c r="R132" s="21"/>
    </row>
    <row r="133" spans="2:18" x14ac:dyDescent="0.25">
      <c r="B133" s="244">
        <v>8</v>
      </c>
      <c r="C133" s="246">
        <v>0</v>
      </c>
      <c r="D133" s="246">
        <v>0</v>
      </c>
      <c r="E133" s="246">
        <v>0</v>
      </c>
      <c r="F133" s="246">
        <v>73</v>
      </c>
      <c r="G133" s="246">
        <v>0</v>
      </c>
      <c r="H133" s="246">
        <v>73</v>
      </c>
      <c r="I133" s="246">
        <v>0</v>
      </c>
      <c r="J133" s="246">
        <v>0</v>
      </c>
      <c r="K133" s="246">
        <v>0</v>
      </c>
      <c r="L133" s="246">
        <v>0</v>
      </c>
      <c r="M133" s="246">
        <v>0</v>
      </c>
      <c r="N133" s="248">
        <v>20</v>
      </c>
      <c r="Q133" s="21"/>
      <c r="R133" s="21"/>
    </row>
    <row r="134" spans="2:18" x14ac:dyDescent="0.25">
      <c r="B134" s="244">
        <v>9</v>
      </c>
      <c r="C134" s="246">
        <v>0</v>
      </c>
      <c r="D134" s="246">
        <v>0</v>
      </c>
      <c r="E134" s="246">
        <v>14</v>
      </c>
      <c r="F134" s="246">
        <v>0</v>
      </c>
      <c r="G134" s="246">
        <v>0</v>
      </c>
      <c r="H134" s="246">
        <v>0</v>
      </c>
      <c r="I134" s="246">
        <v>0</v>
      </c>
      <c r="J134" s="246">
        <v>0</v>
      </c>
      <c r="K134" s="246">
        <v>0</v>
      </c>
      <c r="L134" s="246">
        <v>0</v>
      </c>
      <c r="M134" s="246">
        <v>24</v>
      </c>
      <c r="N134" s="248">
        <v>35</v>
      </c>
      <c r="Q134" s="21"/>
      <c r="R134" s="21"/>
    </row>
    <row r="135" spans="2:18" x14ac:dyDescent="0.25">
      <c r="B135" s="244">
        <v>10</v>
      </c>
      <c r="C135" s="246">
        <v>0</v>
      </c>
      <c r="D135" s="246">
        <v>88</v>
      </c>
      <c r="E135" s="246">
        <v>18</v>
      </c>
      <c r="F135" s="246">
        <v>3</v>
      </c>
      <c r="G135" s="246">
        <v>0</v>
      </c>
      <c r="H135" s="246">
        <v>0</v>
      </c>
      <c r="I135" s="246">
        <v>0</v>
      </c>
      <c r="J135" s="246">
        <v>0</v>
      </c>
      <c r="K135" s="246">
        <v>0</v>
      </c>
      <c r="L135" s="246">
        <v>0</v>
      </c>
      <c r="M135" s="246">
        <v>0</v>
      </c>
      <c r="N135" s="248">
        <v>11</v>
      </c>
      <c r="Q135" s="21"/>
      <c r="R135" s="21"/>
    </row>
    <row r="136" spans="2:18" x14ac:dyDescent="0.25">
      <c r="B136" s="244">
        <v>11</v>
      </c>
      <c r="C136" s="246">
        <v>0</v>
      </c>
      <c r="D136" s="246">
        <v>24</v>
      </c>
      <c r="E136" s="246">
        <v>27</v>
      </c>
      <c r="F136" s="246">
        <v>0</v>
      </c>
      <c r="G136" s="246">
        <v>0</v>
      </c>
      <c r="H136" s="246">
        <v>4</v>
      </c>
      <c r="I136" s="246">
        <v>30</v>
      </c>
      <c r="J136" s="246">
        <v>0</v>
      </c>
      <c r="K136" s="246">
        <v>0</v>
      </c>
      <c r="L136" s="246">
        <v>0</v>
      </c>
      <c r="M136" s="246">
        <v>75</v>
      </c>
      <c r="N136" s="248">
        <v>8</v>
      </c>
      <c r="Q136" s="21"/>
      <c r="R136" s="21"/>
    </row>
    <row r="137" spans="2:18" x14ac:dyDescent="0.25">
      <c r="B137" s="244">
        <v>12</v>
      </c>
      <c r="C137" s="246">
        <v>5</v>
      </c>
      <c r="D137" s="246">
        <v>0</v>
      </c>
      <c r="E137" s="246">
        <v>0</v>
      </c>
      <c r="F137" s="246">
        <v>0</v>
      </c>
      <c r="G137" s="246">
        <v>25</v>
      </c>
      <c r="H137" s="246">
        <v>7</v>
      </c>
      <c r="I137" s="246">
        <v>62</v>
      </c>
      <c r="J137" s="246">
        <v>0</v>
      </c>
      <c r="K137" s="246">
        <v>0</v>
      </c>
      <c r="L137" s="246">
        <v>0</v>
      </c>
      <c r="M137" s="246">
        <v>27</v>
      </c>
      <c r="N137" s="248">
        <v>30</v>
      </c>
      <c r="Q137" s="21"/>
      <c r="R137" s="21"/>
    </row>
    <row r="138" spans="2:18" x14ac:dyDescent="0.25">
      <c r="B138" s="244">
        <v>13</v>
      </c>
      <c r="C138" s="246">
        <v>8</v>
      </c>
      <c r="D138" s="246">
        <v>32</v>
      </c>
      <c r="E138" s="246">
        <v>0</v>
      </c>
      <c r="F138" s="246">
        <v>0</v>
      </c>
      <c r="G138" s="246">
        <v>0</v>
      </c>
      <c r="H138" s="246">
        <v>0</v>
      </c>
      <c r="I138" s="246">
        <v>0</v>
      </c>
      <c r="J138" s="246">
        <v>0</v>
      </c>
      <c r="K138" s="246">
        <v>0</v>
      </c>
      <c r="L138" s="246">
        <v>0</v>
      </c>
      <c r="M138" s="246">
        <v>0</v>
      </c>
      <c r="N138" s="248">
        <v>0</v>
      </c>
      <c r="Q138" s="21"/>
      <c r="R138" s="21"/>
    </row>
    <row r="139" spans="2:18" x14ac:dyDescent="0.25">
      <c r="B139" s="244">
        <v>14</v>
      </c>
      <c r="C139" s="246">
        <v>15</v>
      </c>
      <c r="D139" s="246">
        <v>20</v>
      </c>
      <c r="E139" s="246">
        <v>0</v>
      </c>
      <c r="F139" s="246">
        <v>0</v>
      </c>
      <c r="G139" s="246">
        <v>0</v>
      </c>
      <c r="H139" s="246">
        <v>0</v>
      </c>
      <c r="I139" s="246">
        <v>0</v>
      </c>
      <c r="J139" s="246">
        <v>0</v>
      </c>
      <c r="K139" s="246">
        <v>0</v>
      </c>
      <c r="L139" s="246">
        <v>0</v>
      </c>
      <c r="M139" s="246">
        <v>8</v>
      </c>
      <c r="N139" s="248">
        <v>0</v>
      </c>
      <c r="Q139" s="21"/>
      <c r="R139" s="21"/>
    </row>
    <row r="140" spans="2:18" x14ac:dyDescent="0.25">
      <c r="B140" s="244">
        <v>15</v>
      </c>
      <c r="C140" s="246">
        <v>0</v>
      </c>
      <c r="D140" s="246">
        <v>8</v>
      </c>
      <c r="E140" s="246">
        <v>0</v>
      </c>
      <c r="F140" s="246">
        <v>34</v>
      </c>
      <c r="G140" s="246">
        <v>0</v>
      </c>
      <c r="H140" s="246">
        <v>0</v>
      </c>
      <c r="I140" s="246">
        <v>0</v>
      </c>
      <c r="J140" s="246">
        <v>0</v>
      </c>
      <c r="K140" s="246">
        <v>0</v>
      </c>
      <c r="L140" s="246">
        <v>0</v>
      </c>
      <c r="M140" s="246">
        <v>5</v>
      </c>
      <c r="N140" s="248">
        <v>30</v>
      </c>
      <c r="Q140" s="21"/>
      <c r="R140" s="21"/>
    </row>
    <row r="141" spans="2:18" x14ac:dyDescent="0.25">
      <c r="B141" s="244">
        <v>16</v>
      </c>
      <c r="C141" s="246">
        <v>0</v>
      </c>
      <c r="D141" s="246">
        <v>32</v>
      </c>
      <c r="E141" s="246">
        <v>0</v>
      </c>
      <c r="F141" s="246">
        <v>9</v>
      </c>
      <c r="G141" s="246">
        <v>0</v>
      </c>
      <c r="H141" s="246">
        <v>0</v>
      </c>
      <c r="I141" s="246">
        <v>0</v>
      </c>
      <c r="J141" s="246">
        <v>0</v>
      </c>
      <c r="K141" s="246">
        <v>0</v>
      </c>
      <c r="L141" s="246">
        <v>0</v>
      </c>
      <c r="M141" s="246">
        <v>0</v>
      </c>
      <c r="N141" s="248">
        <v>9</v>
      </c>
      <c r="Q141" s="21"/>
      <c r="R141" s="21"/>
    </row>
    <row r="142" spans="2:18" x14ac:dyDescent="0.25">
      <c r="B142" s="244">
        <v>17</v>
      </c>
      <c r="C142" s="246">
        <v>0</v>
      </c>
      <c r="D142" s="246">
        <v>0</v>
      </c>
      <c r="E142" s="246">
        <v>0</v>
      </c>
      <c r="F142" s="246">
        <v>0</v>
      </c>
      <c r="G142" s="246">
        <v>25</v>
      </c>
      <c r="H142" s="246">
        <v>40</v>
      </c>
      <c r="I142" s="246">
        <v>0</v>
      </c>
      <c r="J142" s="246">
        <v>0</v>
      </c>
      <c r="K142" s="246">
        <v>0</v>
      </c>
      <c r="L142" s="246">
        <v>17</v>
      </c>
      <c r="M142" s="246">
        <v>0</v>
      </c>
      <c r="N142" s="248">
        <v>14</v>
      </c>
      <c r="Q142" s="21"/>
      <c r="R142" s="21"/>
    </row>
    <row r="143" spans="2:18" x14ac:dyDescent="0.25">
      <c r="B143" s="244">
        <v>18</v>
      </c>
      <c r="C143" s="246">
        <v>0</v>
      </c>
      <c r="D143" s="246">
        <v>0</v>
      </c>
      <c r="E143" s="246">
        <v>3</v>
      </c>
      <c r="F143" s="246">
        <v>36</v>
      </c>
      <c r="G143" s="246">
        <v>80</v>
      </c>
      <c r="H143" s="246">
        <v>0</v>
      </c>
      <c r="I143" s="246">
        <v>0</v>
      </c>
      <c r="J143" s="246">
        <v>0</v>
      </c>
      <c r="K143" s="246">
        <v>0</v>
      </c>
      <c r="L143" s="246">
        <v>0</v>
      </c>
      <c r="M143" s="246">
        <v>65</v>
      </c>
      <c r="N143" s="248">
        <v>31</v>
      </c>
      <c r="Q143" s="21"/>
      <c r="R143" s="21"/>
    </row>
    <row r="144" spans="2:18" x14ac:dyDescent="0.25">
      <c r="B144" s="244">
        <v>19</v>
      </c>
      <c r="C144" s="246">
        <v>0</v>
      </c>
      <c r="D144" s="246">
        <v>0</v>
      </c>
      <c r="E144" s="246">
        <v>0</v>
      </c>
      <c r="F144" s="246">
        <v>23</v>
      </c>
      <c r="G144" s="246">
        <v>4</v>
      </c>
      <c r="H144" s="246">
        <v>0</v>
      </c>
      <c r="I144" s="246">
        <v>0</v>
      </c>
      <c r="J144" s="246">
        <v>0</v>
      </c>
      <c r="K144" s="246">
        <v>0</v>
      </c>
      <c r="L144" s="246">
        <v>45</v>
      </c>
      <c r="M144" s="246">
        <v>0</v>
      </c>
      <c r="N144" s="248">
        <v>38</v>
      </c>
      <c r="Q144" s="21"/>
      <c r="R144" s="21"/>
    </row>
    <row r="145" spans="2:27" x14ac:dyDescent="0.25">
      <c r="B145" s="244">
        <v>20</v>
      </c>
      <c r="C145" s="246">
        <v>12</v>
      </c>
      <c r="D145" s="246">
        <v>0</v>
      </c>
      <c r="E145" s="246">
        <v>0</v>
      </c>
      <c r="F145" s="246">
        <v>7</v>
      </c>
      <c r="G145" s="246">
        <v>0</v>
      </c>
      <c r="H145" s="246">
        <v>0</v>
      </c>
      <c r="I145" s="246">
        <v>0</v>
      </c>
      <c r="J145" s="246">
        <v>0</v>
      </c>
      <c r="K145" s="246">
        <v>0</v>
      </c>
      <c r="L145" s="246">
        <v>32</v>
      </c>
      <c r="M145" s="246">
        <v>5</v>
      </c>
      <c r="N145" s="248">
        <v>0</v>
      </c>
      <c r="Q145" s="21"/>
      <c r="R145" s="21"/>
    </row>
    <row r="146" spans="2:27" x14ac:dyDescent="0.25">
      <c r="B146" s="244">
        <v>21</v>
      </c>
      <c r="C146" s="246">
        <v>6</v>
      </c>
      <c r="D146" s="246">
        <v>8</v>
      </c>
      <c r="E146" s="246">
        <v>0</v>
      </c>
      <c r="F146" s="246">
        <v>6</v>
      </c>
      <c r="G146" s="246">
        <v>60</v>
      </c>
      <c r="H146" s="246">
        <v>15</v>
      </c>
      <c r="I146" s="246">
        <v>3</v>
      </c>
      <c r="J146" s="246">
        <v>0</v>
      </c>
      <c r="K146" s="246">
        <v>0</v>
      </c>
      <c r="L146" s="246">
        <v>0</v>
      </c>
      <c r="M146" s="246">
        <v>0</v>
      </c>
      <c r="N146" s="248">
        <v>0</v>
      </c>
      <c r="Q146" s="21"/>
      <c r="R146" s="21"/>
    </row>
    <row r="147" spans="2:27" x14ac:dyDescent="0.25">
      <c r="B147" s="244">
        <v>22</v>
      </c>
      <c r="C147" s="246">
        <v>21</v>
      </c>
      <c r="D147" s="246">
        <v>0</v>
      </c>
      <c r="E147" s="246">
        <v>0</v>
      </c>
      <c r="F147" s="246">
        <v>5</v>
      </c>
      <c r="G147" s="246">
        <v>0</v>
      </c>
      <c r="H147" s="246">
        <v>0</v>
      </c>
      <c r="I147" s="246">
        <v>0</v>
      </c>
      <c r="J147" s="246">
        <v>0</v>
      </c>
      <c r="K147" s="246">
        <v>0</v>
      </c>
      <c r="L147" s="246">
        <v>0</v>
      </c>
      <c r="M147" s="246">
        <v>0</v>
      </c>
      <c r="N147" s="248">
        <v>0</v>
      </c>
      <c r="Q147" s="21"/>
      <c r="R147" s="21"/>
    </row>
    <row r="148" spans="2:27" x14ac:dyDescent="0.25">
      <c r="B148" s="244">
        <v>23</v>
      </c>
      <c r="C148" s="246">
        <v>48</v>
      </c>
      <c r="D148" s="246">
        <v>7</v>
      </c>
      <c r="E148" s="246">
        <v>0</v>
      </c>
      <c r="F148" s="246">
        <v>0</v>
      </c>
      <c r="G148" s="246">
        <v>0</v>
      </c>
      <c r="H148" s="246">
        <v>0</v>
      </c>
      <c r="I148" s="246">
        <v>0</v>
      </c>
      <c r="J148" s="246">
        <v>0</v>
      </c>
      <c r="K148" s="246">
        <v>0</v>
      </c>
      <c r="L148" s="246">
        <v>0</v>
      </c>
      <c r="M148" s="246">
        <v>0</v>
      </c>
      <c r="N148" s="248">
        <v>25</v>
      </c>
      <c r="Q148" s="21"/>
      <c r="R148" s="21"/>
    </row>
    <row r="149" spans="2:27" x14ac:dyDescent="0.25">
      <c r="B149" s="244">
        <v>24</v>
      </c>
      <c r="C149" s="246">
        <v>0</v>
      </c>
      <c r="D149" s="246">
        <v>0</v>
      </c>
      <c r="E149" s="246">
        <v>0</v>
      </c>
      <c r="F149" s="246">
        <v>0</v>
      </c>
      <c r="G149" s="246">
        <v>0</v>
      </c>
      <c r="H149" s="246">
        <v>0</v>
      </c>
      <c r="I149" s="246">
        <v>0</v>
      </c>
      <c r="J149" s="246">
        <v>0</v>
      </c>
      <c r="K149" s="246">
        <v>0</v>
      </c>
      <c r="L149" s="246">
        <v>0</v>
      </c>
      <c r="M149" s="246">
        <v>0</v>
      </c>
      <c r="N149" s="248">
        <v>0</v>
      </c>
      <c r="Q149" s="21"/>
      <c r="R149" s="21"/>
    </row>
    <row r="150" spans="2:27" x14ac:dyDescent="0.25">
      <c r="B150" s="244">
        <v>25</v>
      </c>
      <c r="C150" s="246">
        <v>42</v>
      </c>
      <c r="D150" s="246">
        <v>16</v>
      </c>
      <c r="E150" s="246">
        <v>0</v>
      </c>
      <c r="F150" s="246">
        <v>0</v>
      </c>
      <c r="G150" s="246">
        <v>0</v>
      </c>
      <c r="H150" s="246">
        <v>0</v>
      </c>
      <c r="I150" s="246">
        <v>0</v>
      </c>
      <c r="J150" s="246">
        <v>0</v>
      </c>
      <c r="K150" s="246">
        <v>0</v>
      </c>
      <c r="L150" s="246">
        <v>0</v>
      </c>
      <c r="M150" s="246">
        <v>0</v>
      </c>
      <c r="N150" s="248">
        <v>0</v>
      </c>
      <c r="Q150" s="21"/>
      <c r="R150" s="21"/>
    </row>
    <row r="151" spans="2:27" x14ac:dyDescent="0.25">
      <c r="B151" s="244">
        <v>26</v>
      </c>
      <c r="C151" s="246">
        <v>25</v>
      </c>
      <c r="D151" s="246">
        <v>15</v>
      </c>
      <c r="E151" s="246">
        <v>16</v>
      </c>
      <c r="F151" s="246">
        <v>0</v>
      </c>
      <c r="G151" s="246">
        <v>65</v>
      </c>
      <c r="H151" s="246">
        <v>0</v>
      </c>
      <c r="I151" s="246">
        <v>7</v>
      </c>
      <c r="J151" s="246">
        <v>0</v>
      </c>
      <c r="K151" s="246">
        <v>0</v>
      </c>
      <c r="L151" s="246">
        <v>0</v>
      </c>
      <c r="M151" s="246">
        <v>0</v>
      </c>
      <c r="N151" s="248">
        <v>0</v>
      </c>
      <c r="Q151" s="21"/>
      <c r="R151" s="21"/>
    </row>
    <row r="152" spans="2:27" x14ac:dyDescent="0.25">
      <c r="B152" s="244">
        <v>27</v>
      </c>
      <c r="C152" s="246">
        <v>84</v>
      </c>
      <c r="D152" s="246">
        <v>0</v>
      </c>
      <c r="E152" s="246">
        <v>0</v>
      </c>
      <c r="F152" s="246">
        <v>0</v>
      </c>
      <c r="G152" s="246">
        <v>6</v>
      </c>
      <c r="H152" s="246">
        <v>0</v>
      </c>
      <c r="I152" s="246">
        <v>0</v>
      </c>
      <c r="J152" s="246">
        <v>0</v>
      </c>
      <c r="K152" s="246">
        <v>0</v>
      </c>
      <c r="L152" s="246">
        <v>3</v>
      </c>
      <c r="M152" s="246">
        <v>0</v>
      </c>
      <c r="N152" s="248">
        <v>0</v>
      </c>
      <c r="Q152" s="21"/>
      <c r="R152" s="21"/>
    </row>
    <row r="153" spans="2:27" x14ac:dyDescent="0.25">
      <c r="B153" s="244">
        <v>28</v>
      </c>
      <c r="C153" s="246">
        <v>0</v>
      </c>
      <c r="D153" s="246">
        <v>80</v>
      </c>
      <c r="E153" s="246">
        <v>0</v>
      </c>
      <c r="F153" s="246">
        <v>0</v>
      </c>
      <c r="G153" s="246">
        <v>0</v>
      </c>
      <c r="H153" s="246">
        <v>0</v>
      </c>
      <c r="I153" s="246">
        <v>0</v>
      </c>
      <c r="J153" s="246">
        <v>0</v>
      </c>
      <c r="K153" s="246">
        <v>0</v>
      </c>
      <c r="L153" s="246">
        <v>15</v>
      </c>
      <c r="M153" s="246">
        <v>0</v>
      </c>
      <c r="N153" s="248">
        <v>0</v>
      </c>
      <c r="Q153" s="21"/>
      <c r="R153" s="21"/>
    </row>
    <row r="154" spans="2:27" x14ac:dyDescent="0.25">
      <c r="B154" s="244">
        <v>29</v>
      </c>
      <c r="C154" s="246">
        <v>36</v>
      </c>
      <c r="D154" s="246"/>
      <c r="E154" s="246">
        <v>0</v>
      </c>
      <c r="F154" s="246">
        <v>0</v>
      </c>
      <c r="G154" s="246">
        <v>0</v>
      </c>
      <c r="H154" s="246">
        <v>0</v>
      </c>
      <c r="I154" s="246">
        <v>0</v>
      </c>
      <c r="J154" s="246">
        <v>0</v>
      </c>
      <c r="K154" s="246">
        <v>0</v>
      </c>
      <c r="L154" s="246">
        <v>38</v>
      </c>
      <c r="M154" s="246">
        <v>0</v>
      </c>
      <c r="N154" s="248">
        <v>0</v>
      </c>
      <c r="Q154" s="21"/>
      <c r="R154" s="21"/>
    </row>
    <row r="155" spans="2:27" x14ac:dyDescent="0.25">
      <c r="B155" s="244">
        <v>30</v>
      </c>
      <c r="C155" s="246">
        <v>0</v>
      </c>
      <c r="D155" s="246"/>
      <c r="E155" s="246">
        <v>0</v>
      </c>
      <c r="F155" s="246">
        <v>0</v>
      </c>
      <c r="G155" s="246">
        <v>0</v>
      </c>
      <c r="H155" s="246">
        <v>0</v>
      </c>
      <c r="I155" s="246">
        <v>0</v>
      </c>
      <c r="J155" s="246">
        <v>0</v>
      </c>
      <c r="K155" s="246">
        <v>0</v>
      </c>
      <c r="L155" s="246">
        <v>37</v>
      </c>
      <c r="M155" s="246">
        <v>0</v>
      </c>
      <c r="N155" s="248">
        <v>0</v>
      </c>
      <c r="Q155" s="21"/>
      <c r="R155" s="21"/>
    </row>
    <row r="156" spans="2:27" ht="15.75" thickBot="1" x14ac:dyDescent="0.3">
      <c r="B156" s="51">
        <v>31</v>
      </c>
      <c r="C156" s="243">
        <v>10</v>
      </c>
      <c r="D156" s="243"/>
      <c r="E156" s="243">
        <v>2</v>
      </c>
      <c r="F156" s="243"/>
      <c r="G156" s="243">
        <v>0</v>
      </c>
      <c r="H156" s="243"/>
      <c r="I156" s="243">
        <v>0</v>
      </c>
      <c r="J156" s="243">
        <v>0</v>
      </c>
      <c r="K156" s="243"/>
      <c r="L156" s="243">
        <v>0</v>
      </c>
      <c r="M156" s="243"/>
      <c r="N156" s="52">
        <v>5</v>
      </c>
      <c r="Q156" s="21"/>
      <c r="R156" s="21"/>
    </row>
    <row r="157" spans="2:27" x14ac:dyDescent="0.25">
      <c r="B157" s="5" t="s">
        <v>22</v>
      </c>
      <c r="C157" s="6">
        <f>SUM(C126:C156)</f>
        <v>437</v>
      </c>
      <c r="D157" s="105">
        <f t="shared" ref="D157" si="69">SUM(D126:D156)</f>
        <v>380</v>
      </c>
      <c r="E157" s="105">
        <f t="shared" ref="E157" si="70">SUM(E126:E156)</f>
        <v>133</v>
      </c>
      <c r="F157" s="105">
        <f t="shared" ref="F157" si="71">SUM(F126:F156)</f>
        <v>270</v>
      </c>
      <c r="G157" s="105">
        <f t="shared" ref="G157" si="72">SUM(G126:G156)</f>
        <v>270</v>
      </c>
      <c r="H157" s="105">
        <f t="shared" ref="H157" si="73">SUM(H126:H156)</f>
        <v>204</v>
      </c>
      <c r="I157" s="105">
        <f t="shared" ref="I157" si="74">SUM(I126:I156)</f>
        <v>102</v>
      </c>
      <c r="J157" s="105">
        <f t="shared" ref="J157" si="75">SUM(J126:J156)</f>
        <v>0</v>
      </c>
      <c r="K157" s="105">
        <f t="shared" ref="K157" si="76">SUM(K126:K156)</f>
        <v>0</v>
      </c>
      <c r="L157" s="105">
        <f t="shared" ref="L157" si="77">SUM(L126:L156)</f>
        <v>187</v>
      </c>
      <c r="M157" s="105">
        <f t="shared" ref="M157" si="78">SUM(M126:M156)</f>
        <v>209</v>
      </c>
      <c r="N157" s="106">
        <f t="shared" ref="N157" si="79">SUM(N126:N156)</f>
        <v>262</v>
      </c>
      <c r="P157" s="21"/>
      <c r="Q157" s="21"/>
      <c r="R157" s="21"/>
    </row>
    <row r="158" spans="2:27" x14ac:dyDescent="0.25">
      <c r="B158" s="107" t="s">
        <v>23</v>
      </c>
      <c r="C158" s="102">
        <f>C157/$T$3</f>
        <v>43.7</v>
      </c>
      <c r="D158" s="101">
        <f t="shared" ref="D158" si="80">D157/$T$3</f>
        <v>38</v>
      </c>
      <c r="E158" s="101">
        <f t="shared" ref="E158" si="81">E157/$T$3</f>
        <v>13.3</v>
      </c>
      <c r="F158" s="101">
        <f t="shared" ref="F158" si="82">F157/$T$3</f>
        <v>27</v>
      </c>
      <c r="G158" s="101">
        <f t="shared" ref="G158" si="83">G157/$T$3</f>
        <v>27</v>
      </c>
      <c r="H158" s="101">
        <f t="shared" ref="H158" si="84">H157/$T$3</f>
        <v>20.399999999999999</v>
      </c>
      <c r="I158" s="101">
        <f t="shared" ref="I158" si="85">I157/$T$3</f>
        <v>10.199999999999999</v>
      </c>
      <c r="J158" s="101">
        <f t="shared" ref="J158" si="86">J157/$T$3</f>
        <v>0</v>
      </c>
      <c r="K158" s="101">
        <f t="shared" ref="K158" si="87">K157/$T$3</f>
        <v>0</v>
      </c>
      <c r="L158" s="101">
        <f t="shared" ref="L158" si="88">L157/$T$3</f>
        <v>18.7</v>
      </c>
      <c r="M158" s="101">
        <f t="shared" ref="M158" si="89">M157/$T$3</f>
        <v>20.9</v>
      </c>
      <c r="N158" s="108">
        <f t="shared" ref="N158" si="90">N157/$T$3</f>
        <v>26.2</v>
      </c>
      <c r="P158" s="234"/>
      <c r="Q158" s="234"/>
      <c r="R158" s="234"/>
      <c r="S158" s="234"/>
      <c r="T158" s="234"/>
      <c r="U158" s="234"/>
      <c r="V158" s="234"/>
      <c r="W158" s="234"/>
      <c r="X158" s="234"/>
      <c r="Y158" s="234"/>
      <c r="Z158" s="234"/>
      <c r="AA158" s="234"/>
    </row>
    <row r="159" spans="2:27" x14ac:dyDescent="0.25">
      <c r="B159" s="107" t="s">
        <v>18</v>
      </c>
      <c r="C159" s="109">
        <f>$T$4*((C158)^$T$5)</f>
        <v>376.22446038650537</v>
      </c>
      <c r="D159" s="110">
        <f t="shared" ref="D159" si="91">$T$4*((D158)^$T$5)</f>
        <v>311.09853436591794</v>
      </c>
      <c r="E159" s="110">
        <f t="shared" ref="E159" si="92">$T$4*((E158)^$T$5)</f>
        <v>74.615749440995714</v>
      </c>
      <c r="F159" s="110">
        <f t="shared" ref="F159" si="93">$T$4*((F158)^$T$5)</f>
        <v>195.45509369988298</v>
      </c>
      <c r="G159" s="110">
        <f t="shared" ref="G159" si="94">$T$4*((G158)^$T$5)</f>
        <v>195.45509369988298</v>
      </c>
      <c r="H159" s="110">
        <f t="shared" ref="H159" si="95">$T$4*((H158)^$T$5)</f>
        <v>133.5024701527386</v>
      </c>
      <c r="I159" s="110">
        <f t="shared" ref="I159" si="96">$T$4*((I158)^$T$5)</f>
        <v>52.010198020098485</v>
      </c>
      <c r="J159" s="110">
        <f t="shared" ref="J159" si="97">$T$4*((J158)^$T$5)</f>
        <v>0</v>
      </c>
      <c r="K159" s="110">
        <f t="shared" ref="K159" si="98">$T$4*((K158)^$T$5)</f>
        <v>0</v>
      </c>
      <c r="L159" s="110">
        <f t="shared" ref="L159" si="99">$T$4*((L158)^$T$5)</f>
        <v>118.60332338654453</v>
      </c>
      <c r="M159" s="110">
        <f t="shared" ref="M159" si="100">$T$4*((M158)^$T$5)</f>
        <v>137.97208357106172</v>
      </c>
      <c r="N159" s="111">
        <f t="shared" ref="N159" si="101">$T$4*((N158)^$T$5)</f>
        <v>187.62125208156601</v>
      </c>
      <c r="P159" s="234"/>
      <c r="Q159" s="234"/>
      <c r="R159" s="234"/>
      <c r="S159" s="234"/>
      <c r="T159" s="234"/>
      <c r="U159" s="234"/>
      <c r="V159" s="234"/>
      <c r="W159" s="234"/>
      <c r="X159" s="234"/>
      <c r="Y159" s="234"/>
      <c r="Z159" s="234"/>
      <c r="AA159" s="234"/>
    </row>
    <row r="160" spans="2:27" ht="15.75" thickBot="1" x14ac:dyDescent="0.3">
      <c r="B160" s="112" t="s">
        <v>19</v>
      </c>
      <c r="C160" s="341">
        <f>SUM(C159:N159)</f>
        <v>1782.5582588051943</v>
      </c>
      <c r="D160" s="341"/>
      <c r="E160" s="341"/>
      <c r="F160" s="341"/>
      <c r="G160" s="341"/>
      <c r="H160" s="341"/>
      <c r="I160" s="341"/>
      <c r="J160" s="341"/>
      <c r="K160" s="341"/>
      <c r="L160" s="341"/>
      <c r="M160" s="341"/>
      <c r="N160" s="342"/>
      <c r="P160" s="236"/>
      <c r="Q160" s="236"/>
      <c r="R160" s="236"/>
      <c r="S160" s="236"/>
      <c r="T160" s="236"/>
      <c r="U160" s="236"/>
      <c r="V160" s="236"/>
      <c r="W160" s="236"/>
      <c r="X160" s="236"/>
      <c r="Y160" s="236"/>
      <c r="Z160" s="236"/>
      <c r="AA160" s="236"/>
    </row>
    <row r="161" spans="2:27" x14ac:dyDescent="0.25"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</row>
    <row r="162" spans="2:27" x14ac:dyDescent="0.25">
      <c r="P162" s="21"/>
      <c r="Q162" s="21"/>
      <c r="R162" s="21"/>
    </row>
    <row r="163" spans="2:27" ht="15.75" thickBot="1" x14ac:dyDescent="0.3">
      <c r="B163" s="235" t="s">
        <v>26</v>
      </c>
      <c r="O163" s="21"/>
      <c r="P163" s="21"/>
      <c r="Q163" s="21"/>
      <c r="R163" s="21"/>
    </row>
    <row r="164" spans="2:27" ht="15.75" thickBot="1" x14ac:dyDescent="0.3">
      <c r="B164" s="347" t="s">
        <v>0</v>
      </c>
      <c r="C164" s="349" t="s">
        <v>7</v>
      </c>
      <c r="D164" s="350"/>
      <c r="E164" s="350"/>
      <c r="F164" s="350"/>
      <c r="G164" s="350"/>
      <c r="H164" s="350"/>
      <c r="I164" s="350"/>
      <c r="J164" s="350"/>
      <c r="K164" s="350"/>
      <c r="L164" s="350"/>
      <c r="M164" s="350"/>
      <c r="N164" s="351"/>
      <c r="O164" s="240"/>
      <c r="P164" s="252"/>
      <c r="Q164" s="240"/>
    </row>
    <row r="165" spans="2:27" ht="15.75" thickBot="1" x14ac:dyDescent="0.3">
      <c r="B165" s="348"/>
      <c r="C165" s="243" t="s">
        <v>1</v>
      </c>
      <c r="D165" s="243" t="s">
        <v>2</v>
      </c>
      <c r="E165" s="243" t="s">
        <v>3</v>
      </c>
      <c r="F165" s="243" t="s">
        <v>4</v>
      </c>
      <c r="G165" s="243" t="s">
        <v>5</v>
      </c>
      <c r="H165" s="243" t="s">
        <v>6</v>
      </c>
      <c r="I165" s="243" t="s">
        <v>8</v>
      </c>
      <c r="J165" s="243" t="s">
        <v>9</v>
      </c>
      <c r="K165" s="243" t="s">
        <v>10</v>
      </c>
      <c r="L165" s="243" t="s">
        <v>11</v>
      </c>
      <c r="M165" s="243" t="s">
        <v>12</v>
      </c>
      <c r="N165" s="52" t="s">
        <v>13</v>
      </c>
      <c r="P165" s="252"/>
    </row>
    <row r="166" spans="2:27" x14ac:dyDescent="0.25">
      <c r="B166" s="244">
        <v>1</v>
      </c>
      <c r="C166" s="246">
        <v>14</v>
      </c>
      <c r="D166" s="246">
        <v>45</v>
      </c>
      <c r="E166" s="246">
        <v>33</v>
      </c>
      <c r="F166" s="246">
        <v>0</v>
      </c>
      <c r="G166" s="246">
        <v>0</v>
      </c>
      <c r="H166" s="246">
        <v>0</v>
      </c>
      <c r="I166" s="247">
        <v>0</v>
      </c>
      <c r="J166" s="247">
        <v>0</v>
      </c>
      <c r="K166" s="247">
        <v>0</v>
      </c>
      <c r="L166" s="247">
        <v>0</v>
      </c>
      <c r="M166" s="246">
        <v>0</v>
      </c>
      <c r="N166" s="248">
        <v>0</v>
      </c>
      <c r="P166" s="252"/>
      <c r="Q166" s="21"/>
    </row>
    <row r="167" spans="2:27" x14ac:dyDescent="0.25">
      <c r="B167" s="244">
        <v>2</v>
      </c>
      <c r="C167" s="246">
        <v>0</v>
      </c>
      <c r="D167" s="246">
        <v>0</v>
      </c>
      <c r="E167" s="246">
        <v>0</v>
      </c>
      <c r="F167" s="246">
        <v>30</v>
      </c>
      <c r="G167" s="246">
        <v>0</v>
      </c>
      <c r="H167" s="246">
        <v>0</v>
      </c>
      <c r="I167" s="246">
        <v>0</v>
      </c>
      <c r="J167" s="246">
        <v>0</v>
      </c>
      <c r="K167" s="246">
        <v>0</v>
      </c>
      <c r="L167" s="246">
        <v>0</v>
      </c>
      <c r="M167" s="246">
        <v>0</v>
      </c>
      <c r="N167" s="248">
        <v>0</v>
      </c>
      <c r="P167" s="252"/>
      <c r="Q167" s="21"/>
    </row>
    <row r="168" spans="2:27" x14ac:dyDescent="0.25">
      <c r="B168" s="244">
        <v>3</v>
      </c>
      <c r="C168" s="246">
        <v>0</v>
      </c>
      <c r="D168" s="246">
        <v>10</v>
      </c>
      <c r="E168" s="246">
        <v>35</v>
      </c>
      <c r="F168" s="246">
        <v>34</v>
      </c>
      <c r="G168" s="246">
        <v>13</v>
      </c>
      <c r="H168" s="246">
        <v>0</v>
      </c>
      <c r="I168" s="246">
        <v>0</v>
      </c>
      <c r="J168" s="246">
        <v>0</v>
      </c>
      <c r="K168" s="246">
        <v>0</v>
      </c>
      <c r="L168" s="246">
        <v>0</v>
      </c>
      <c r="M168" s="246">
        <v>0</v>
      </c>
      <c r="N168" s="248">
        <v>0</v>
      </c>
      <c r="P168" s="252"/>
      <c r="Q168" s="21"/>
    </row>
    <row r="169" spans="2:27" x14ac:dyDescent="0.25">
      <c r="B169" s="244">
        <v>4</v>
      </c>
      <c r="C169" s="246">
        <v>10</v>
      </c>
      <c r="D169" s="246">
        <v>25</v>
      </c>
      <c r="E169" s="246">
        <v>0</v>
      </c>
      <c r="F169" s="246">
        <v>0</v>
      </c>
      <c r="G169" s="246">
        <v>0</v>
      </c>
      <c r="H169" s="246">
        <v>0</v>
      </c>
      <c r="I169" s="246">
        <v>0</v>
      </c>
      <c r="J169" s="246">
        <v>0</v>
      </c>
      <c r="K169" s="246">
        <v>0</v>
      </c>
      <c r="L169" s="246">
        <v>0</v>
      </c>
      <c r="M169" s="246">
        <v>0</v>
      </c>
      <c r="N169" s="248">
        <v>0</v>
      </c>
      <c r="P169" s="252"/>
      <c r="Q169" s="21"/>
    </row>
    <row r="170" spans="2:27" x14ac:dyDescent="0.25">
      <c r="B170" s="244">
        <v>5</v>
      </c>
      <c r="C170" s="246">
        <v>25</v>
      </c>
      <c r="D170" s="246">
        <v>10</v>
      </c>
      <c r="E170" s="246">
        <v>0</v>
      </c>
      <c r="F170" s="246">
        <v>6</v>
      </c>
      <c r="G170" s="246">
        <v>0</v>
      </c>
      <c r="H170" s="246">
        <v>0</v>
      </c>
      <c r="I170" s="246">
        <v>0</v>
      </c>
      <c r="J170" s="246">
        <v>0</v>
      </c>
      <c r="K170" s="246">
        <v>0</v>
      </c>
      <c r="L170" s="246">
        <v>0</v>
      </c>
      <c r="M170" s="246">
        <v>0</v>
      </c>
      <c r="N170" s="248">
        <v>0</v>
      </c>
      <c r="P170" s="252"/>
      <c r="Q170" s="21"/>
    </row>
    <row r="171" spans="2:27" x14ac:dyDescent="0.25">
      <c r="B171" s="244">
        <v>6</v>
      </c>
      <c r="C171" s="246">
        <v>6</v>
      </c>
      <c r="D171" s="246">
        <v>18</v>
      </c>
      <c r="E171" s="246">
        <v>6</v>
      </c>
      <c r="F171" s="246">
        <v>0</v>
      </c>
      <c r="G171" s="246">
        <v>0</v>
      </c>
      <c r="H171" s="246">
        <v>0</v>
      </c>
      <c r="I171" s="246">
        <v>0</v>
      </c>
      <c r="J171" s="246">
        <v>0</v>
      </c>
      <c r="K171" s="246">
        <v>0</v>
      </c>
      <c r="L171" s="246">
        <v>0</v>
      </c>
      <c r="M171" s="246">
        <v>0</v>
      </c>
      <c r="N171" s="248">
        <v>4</v>
      </c>
      <c r="P171" s="252"/>
      <c r="Q171" s="21"/>
    </row>
    <row r="172" spans="2:27" x14ac:dyDescent="0.25">
      <c r="B172" s="244">
        <v>7</v>
      </c>
      <c r="C172" s="246">
        <v>29</v>
      </c>
      <c r="D172" s="246">
        <v>10</v>
      </c>
      <c r="E172" s="246">
        <v>0</v>
      </c>
      <c r="F172" s="246">
        <v>0</v>
      </c>
      <c r="G172" s="246">
        <v>0</v>
      </c>
      <c r="H172" s="246">
        <v>0</v>
      </c>
      <c r="I172" s="246">
        <v>0</v>
      </c>
      <c r="J172" s="246">
        <v>0</v>
      </c>
      <c r="K172" s="246">
        <v>0</v>
      </c>
      <c r="L172" s="246">
        <v>0</v>
      </c>
      <c r="M172" s="246">
        <v>0</v>
      </c>
      <c r="N172" s="248">
        <v>15</v>
      </c>
      <c r="P172" s="252"/>
      <c r="Q172" s="21"/>
    </row>
    <row r="173" spans="2:27" x14ac:dyDescent="0.25">
      <c r="B173" s="244">
        <v>8</v>
      </c>
      <c r="C173" s="246">
        <v>0</v>
      </c>
      <c r="D173" s="246">
        <v>13</v>
      </c>
      <c r="E173" s="246">
        <v>0</v>
      </c>
      <c r="F173" s="246">
        <v>0</v>
      </c>
      <c r="G173" s="246">
        <v>0</v>
      </c>
      <c r="H173" s="246">
        <v>0</v>
      </c>
      <c r="I173" s="246">
        <v>0</v>
      </c>
      <c r="J173" s="246">
        <v>0</v>
      </c>
      <c r="K173" s="246">
        <v>0</v>
      </c>
      <c r="L173" s="246">
        <v>0</v>
      </c>
      <c r="M173" s="246">
        <v>0</v>
      </c>
      <c r="N173" s="248">
        <v>0</v>
      </c>
      <c r="P173" s="252"/>
      <c r="Q173" s="21"/>
    </row>
    <row r="174" spans="2:27" x14ac:dyDescent="0.25">
      <c r="B174" s="244">
        <v>9</v>
      </c>
      <c r="C174" s="246">
        <v>6</v>
      </c>
      <c r="D174" s="246">
        <v>4</v>
      </c>
      <c r="E174" s="246">
        <v>0</v>
      </c>
      <c r="F174" s="246">
        <v>0</v>
      </c>
      <c r="G174" s="246">
        <v>0</v>
      </c>
      <c r="H174" s="246">
        <v>0</v>
      </c>
      <c r="I174" s="246">
        <v>0</v>
      </c>
      <c r="J174" s="246">
        <v>0</v>
      </c>
      <c r="K174" s="246">
        <v>0</v>
      </c>
      <c r="L174" s="246">
        <v>0</v>
      </c>
      <c r="M174" s="246">
        <v>0</v>
      </c>
      <c r="N174" s="248">
        <v>0</v>
      </c>
      <c r="P174" s="252"/>
      <c r="Q174" s="21"/>
    </row>
    <row r="175" spans="2:27" x14ac:dyDescent="0.25">
      <c r="B175" s="244">
        <v>10</v>
      </c>
      <c r="C175" s="246">
        <v>0</v>
      </c>
      <c r="D175" s="246">
        <v>0</v>
      </c>
      <c r="E175" s="246">
        <v>35</v>
      </c>
      <c r="F175" s="246">
        <v>0</v>
      </c>
      <c r="G175" s="246">
        <v>0</v>
      </c>
      <c r="H175" s="246">
        <v>0</v>
      </c>
      <c r="I175" s="246">
        <v>0</v>
      </c>
      <c r="J175" s="246">
        <v>0</v>
      </c>
      <c r="K175" s="246">
        <v>0</v>
      </c>
      <c r="L175" s="246">
        <v>0</v>
      </c>
      <c r="M175" s="246">
        <v>34</v>
      </c>
      <c r="N175" s="248">
        <v>0</v>
      </c>
      <c r="P175" s="252"/>
      <c r="Q175" s="21"/>
    </row>
    <row r="176" spans="2:27" x14ac:dyDescent="0.25">
      <c r="B176" s="244">
        <v>11</v>
      </c>
      <c r="C176" s="246">
        <v>0</v>
      </c>
      <c r="D176" s="246">
        <v>0</v>
      </c>
      <c r="E176" s="246">
        <v>0</v>
      </c>
      <c r="F176" s="246">
        <v>20</v>
      </c>
      <c r="G176" s="246">
        <v>0</v>
      </c>
      <c r="H176" s="246">
        <v>0</v>
      </c>
      <c r="I176" s="246">
        <v>0</v>
      </c>
      <c r="J176" s="246">
        <v>0</v>
      </c>
      <c r="K176" s="246">
        <v>0</v>
      </c>
      <c r="L176" s="246">
        <v>0</v>
      </c>
      <c r="M176" s="246">
        <v>10</v>
      </c>
      <c r="N176" s="248">
        <v>5</v>
      </c>
      <c r="P176" s="252"/>
      <c r="Q176" s="21"/>
    </row>
    <row r="177" spans="2:17" x14ac:dyDescent="0.25">
      <c r="B177" s="244">
        <v>12</v>
      </c>
      <c r="C177" s="246">
        <v>0</v>
      </c>
      <c r="D177" s="246">
        <v>0</v>
      </c>
      <c r="E177" s="246">
        <v>30</v>
      </c>
      <c r="F177" s="246">
        <v>0</v>
      </c>
      <c r="G177" s="246">
        <v>0</v>
      </c>
      <c r="H177" s="246">
        <v>0</v>
      </c>
      <c r="I177" s="246">
        <v>0</v>
      </c>
      <c r="J177" s="246">
        <v>0</v>
      </c>
      <c r="K177" s="246">
        <v>0</v>
      </c>
      <c r="L177" s="246">
        <v>0</v>
      </c>
      <c r="M177" s="246">
        <v>4</v>
      </c>
      <c r="N177" s="248">
        <v>5</v>
      </c>
      <c r="P177" s="252"/>
      <c r="Q177" s="21"/>
    </row>
    <row r="178" spans="2:17" x14ac:dyDescent="0.25">
      <c r="B178" s="244">
        <v>13</v>
      </c>
      <c r="C178" s="246">
        <v>16</v>
      </c>
      <c r="D178" s="246">
        <v>0</v>
      </c>
      <c r="E178" s="246">
        <v>7</v>
      </c>
      <c r="F178" s="246">
        <v>5</v>
      </c>
      <c r="G178" s="246">
        <v>0</v>
      </c>
      <c r="H178" s="246">
        <v>0</v>
      </c>
      <c r="I178" s="246">
        <v>0</v>
      </c>
      <c r="J178" s="246">
        <v>0</v>
      </c>
      <c r="K178" s="246">
        <v>0</v>
      </c>
      <c r="L178" s="246">
        <v>0</v>
      </c>
      <c r="M178" s="246">
        <v>0</v>
      </c>
      <c r="N178" s="248">
        <v>7</v>
      </c>
      <c r="P178" s="252"/>
      <c r="Q178" s="21"/>
    </row>
    <row r="179" spans="2:17" x14ac:dyDescent="0.25">
      <c r="B179" s="244">
        <v>14</v>
      </c>
      <c r="C179" s="246">
        <v>8</v>
      </c>
      <c r="D179" s="246">
        <v>0</v>
      </c>
      <c r="E179" s="246">
        <v>8</v>
      </c>
      <c r="F179" s="246">
        <v>0</v>
      </c>
      <c r="G179" s="246">
        <v>0</v>
      </c>
      <c r="H179" s="246">
        <v>0</v>
      </c>
      <c r="I179" s="246">
        <v>0</v>
      </c>
      <c r="J179" s="246">
        <v>0</v>
      </c>
      <c r="K179" s="246">
        <v>0</v>
      </c>
      <c r="L179" s="246">
        <v>0</v>
      </c>
      <c r="M179" s="246">
        <v>0</v>
      </c>
      <c r="N179" s="248">
        <v>0</v>
      </c>
      <c r="P179" s="252"/>
      <c r="Q179" s="21"/>
    </row>
    <row r="180" spans="2:17" x14ac:dyDescent="0.25">
      <c r="B180" s="244">
        <v>15</v>
      </c>
      <c r="C180" s="246">
        <v>0</v>
      </c>
      <c r="D180" s="246">
        <v>0</v>
      </c>
      <c r="E180" s="246">
        <v>0</v>
      </c>
      <c r="F180" s="246">
        <v>0</v>
      </c>
      <c r="G180" s="246">
        <v>57</v>
      </c>
      <c r="H180" s="246">
        <v>0</v>
      </c>
      <c r="I180" s="246">
        <v>0</v>
      </c>
      <c r="J180" s="246">
        <v>0</v>
      </c>
      <c r="K180" s="246">
        <v>0</v>
      </c>
      <c r="L180" s="246">
        <v>0</v>
      </c>
      <c r="M180" s="246">
        <v>12</v>
      </c>
      <c r="N180" s="248">
        <v>0</v>
      </c>
      <c r="P180" s="252"/>
      <c r="Q180" s="21"/>
    </row>
    <row r="181" spans="2:17" x14ac:dyDescent="0.25">
      <c r="B181" s="244">
        <v>16</v>
      </c>
      <c r="C181" s="246">
        <v>0</v>
      </c>
      <c r="D181" s="246">
        <v>6</v>
      </c>
      <c r="E181" s="246">
        <v>0</v>
      </c>
      <c r="F181" s="246">
        <v>0</v>
      </c>
      <c r="G181" s="246">
        <v>0</v>
      </c>
      <c r="H181" s="246">
        <v>7</v>
      </c>
      <c r="I181" s="246">
        <v>0</v>
      </c>
      <c r="J181" s="246">
        <v>0</v>
      </c>
      <c r="K181" s="246">
        <v>0</v>
      </c>
      <c r="L181" s="246">
        <v>0</v>
      </c>
      <c r="M181" s="246">
        <v>60</v>
      </c>
      <c r="N181" s="248">
        <v>10</v>
      </c>
      <c r="P181" s="252"/>
      <c r="Q181" s="21"/>
    </row>
    <row r="182" spans="2:17" x14ac:dyDescent="0.25">
      <c r="B182" s="244">
        <v>17</v>
      </c>
      <c r="C182" s="246">
        <v>0</v>
      </c>
      <c r="D182" s="246">
        <v>4</v>
      </c>
      <c r="E182" s="246">
        <v>8</v>
      </c>
      <c r="F182" s="246">
        <v>0</v>
      </c>
      <c r="G182" s="246">
        <v>0</v>
      </c>
      <c r="H182" s="246">
        <v>0</v>
      </c>
      <c r="I182" s="246">
        <v>0</v>
      </c>
      <c r="J182" s="246">
        <v>0</v>
      </c>
      <c r="K182" s="246">
        <v>0</v>
      </c>
      <c r="L182" s="246">
        <v>0</v>
      </c>
      <c r="M182" s="246">
        <v>60</v>
      </c>
      <c r="N182" s="248">
        <v>92</v>
      </c>
      <c r="P182" s="254"/>
    </row>
    <row r="183" spans="2:17" x14ac:dyDescent="0.25">
      <c r="B183" s="244">
        <v>18</v>
      </c>
      <c r="C183" s="246">
        <v>9</v>
      </c>
      <c r="D183" s="246">
        <v>5</v>
      </c>
      <c r="E183" s="246">
        <v>8</v>
      </c>
      <c r="F183" s="246">
        <v>0</v>
      </c>
      <c r="G183" s="246">
        <v>0</v>
      </c>
      <c r="H183" s="246">
        <v>37</v>
      </c>
      <c r="I183" s="246">
        <v>0</v>
      </c>
      <c r="J183" s="246">
        <v>0</v>
      </c>
      <c r="K183" s="246">
        <v>0</v>
      </c>
      <c r="L183" s="246">
        <v>0</v>
      </c>
      <c r="M183" s="246">
        <v>21</v>
      </c>
      <c r="N183" s="248">
        <v>0</v>
      </c>
      <c r="P183" s="254"/>
    </row>
    <row r="184" spans="2:17" x14ac:dyDescent="0.25">
      <c r="B184" s="244">
        <v>19</v>
      </c>
      <c r="C184" s="246">
        <v>0</v>
      </c>
      <c r="D184" s="246">
        <v>0</v>
      </c>
      <c r="E184" s="246">
        <v>0</v>
      </c>
      <c r="F184" s="246">
        <v>0</v>
      </c>
      <c r="G184" s="246">
        <v>0</v>
      </c>
      <c r="H184" s="246">
        <v>56</v>
      </c>
      <c r="I184" s="246">
        <v>0</v>
      </c>
      <c r="J184" s="246">
        <v>0</v>
      </c>
      <c r="K184" s="246">
        <v>0</v>
      </c>
      <c r="L184" s="246">
        <v>0</v>
      </c>
      <c r="M184" s="246">
        <v>12</v>
      </c>
      <c r="N184" s="248">
        <v>0</v>
      </c>
      <c r="P184" s="254"/>
    </row>
    <row r="185" spans="2:17" x14ac:dyDescent="0.25">
      <c r="B185" s="244">
        <v>20</v>
      </c>
      <c r="C185" s="246">
        <v>5</v>
      </c>
      <c r="D185" s="246">
        <v>0</v>
      </c>
      <c r="E185" s="246">
        <v>0</v>
      </c>
      <c r="F185" s="246">
        <v>36</v>
      </c>
      <c r="G185" s="246">
        <v>0</v>
      </c>
      <c r="H185" s="246">
        <v>0</v>
      </c>
      <c r="I185" s="246">
        <v>0</v>
      </c>
      <c r="J185" s="246">
        <v>0</v>
      </c>
      <c r="K185" s="246">
        <v>0</v>
      </c>
      <c r="L185" s="246">
        <v>0</v>
      </c>
      <c r="M185" s="246">
        <v>0</v>
      </c>
      <c r="N185" s="248">
        <v>36</v>
      </c>
      <c r="P185" s="252"/>
      <c r="Q185" s="21"/>
    </row>
    <row r="186" spans="2:17" x14ac:dyDescent="0.25">
      <c r="B186" s="244">
        <v>21</v>
      </c>
      <c r="C186" s="246">
        <v>11</v>
      </c>
      <c r="D186" s="246">
        <v>6</v>
      </c>
      <c r="E186" s="246">
        <v>0</v>
      </c>
      <c r="F186" s="246">
        <v>0</v>
      </c>
      <c r="G186" s="246">
        <v>25</v>
      </c>
      <c r="H186" s="246">
        <v>0</v>
      </c>
      <c r="I186" s="246">
        <v>0</v>
      </c>
      <c r="J186" s="246">
        <v>0</v>
      </c>
      <c r="K186" s="246">
        <v>0</v>
      </c>
      <c r="L186" s="246">
        <v>0</v>
      </c>
      <c r="M186" s="246">
        <v>0</v>
      </c>
      <c r="N186" s="248">
        <v>25</v>
      </c>
      <c r="P186" s="252"/>
      <c r="Q186" s="21"/>
    </row>
    <row r="187" spans="2:17" x14ac:dyDescent="0.25">
      <c r="B187" s="244">
        <v>22</v>
      </c>
      <c r="C187" s="246">
        <v>12</v>
      </c>
      <c r="D187" s="246">
        <v>0</v>
      </c>
      <c r="E187" s="246">
        <v>0</v>
      </c>
      <c r="F187" s="246">
        <v>0</v>
      </c>
      <c r="G187" s="246">
        <v>0</v>
      </c>
      <c r="H187" s="246">
        <v>0</v>
      </c>
      <c r="I187" s="246">
        <v>0</v>
      </c>
      <c r="J187" s="246">
        <v>0</v>
      </c>
      <c r="K187" s="246">
        <v>0</v>
      </c>
      <c r="L187" s="246">
        <v>0</v>
      </c>
      <c r="M187" s="246">
        <v>0</v>
      </c>
      <c r="N187" s="248">
        <v>0</v>
      </c>
      <c r="P187" s="252"/>
      <c r="Q187" s="21"/>
    </row>
    <row r="188" spans="2:17" x14ac:dyDescent="0.25">
      <c r="B188" s="244">
        <v>23</v>
      </c>
      <c r="C188" s="246">
        <v>40</v>
      </c>
      <c r="D188" s="246">
        <v>25</v>
      </c>
      <c r="E188" s="246">
        <v>0</v>
      </c>
      <c r="F188" s="246">
        <v>0</v>
      </c>
      <c r="G188" s="246">
        <v>0</v>
      </c>
      <c r="H188" s="246">
        <v>0</v>
      </c>
      <c r="I188" s="246">
        <v>0</v>
      </c>
      <c r="J188" s="246">
        <v>0</v>
      </c>
      <c r="K188" s="246">
        <v>0</v>
      </c>
      <c r="L188" s="246">
        <v>0</v>
      </c>
      <c r="M188" s="246">
        <v>0</v>
      </c>
      <c r="N188" s="248">
        <v>70</v>
      </c>
      <c r="P188" s="252"/>
      <c r="Q188" s="21"/>
    </row>
    <row r="189" spans="2:17" x14ac:dyDescent="0.25">
      <c r="B189" s="244">
        <v>24</v>
      </c>
      <c r="C189" s="246">
        <v>0</v>
      </c>
      <c r="D189" s="246">
        <v>8</v>
      </c>
      <c r="E189" s="246">
        <v>0</v>
      </c>
      <c r="F189" s="246">
        <v>0</v>
      </c>
      <c r="G189" s="246">
        <v>0</v>
      </c>
      <c r="H189" s="246">
        <v>0</v>
      </c>
      <c r="I189" s="246">
        <v>0</v>
      </c>
      <c r="J189" s="246">
        <v>0</v>
      </c>
      <c r="K189" s="246">
        <v>0</v>
      </c>
      <c r="L189" s="246">
        <v>0</v>
      </c>
      <c r="M189" s="246">
        <v>25</v>
      </c>
      <c r="N189" s="248">
        <v>7</v>
      </c>
      <c r="P189" s="252"/>
      <c r="Q189" s="21"/>
    </row>
    <row r="190" spans="2:17" x14ac:dyDescent="0.25">
      <c r="B190" s="244">
        <v>25</v>
      </c>
      <c r="C190" s="246">
        <v>7</v>
      </c>
      <c r="D190" s="246">
        <v>0</v>
      </c>
      <c r="E190" s="246">
        <v>10</v>
      </c>
      <c r="F190" s="246">
        <v>0</v>
      </c>
      <c r="G190" s="246">
        <v>0</v>
      </c>
      <c r="H190" s="246">
        <v>9</v>
      </c>
      <c r="I190" s="246">
        <v>0</v>
      </c>
      <c r="J190" s="246">
        <v>0</v>
      </c>
      <c r="K190" s="246">
        <v>0</v>
      </c>
      <c r="L190" s="246">
        <v>0</v>
      </c>
      <c r="M190" s="246">
        <v>0</v>
      </c>
      <c r="N190" s="248">
        <v>8</v>
      </c>
      <c r="P190" s="252"/>
      <c r="Q190" s="21"/>
    </row>
    <row r="191" spans="2:17" x14ac:dyDescent="0.25">
      <c r="B191" s="244">
        <v>26</v>
      </c>
      <c r="C191" s="246">
        <v>0</v>
      </c>
      <c r="D191" s="246">
        <v>20</v>
      </c>
      <c r="E191" s="246">
        <v>0</v>
      </c>
      <c r="F191" s="246">
        <v>0</v>
      </c>
      <c r="G191" s="246">
        <v>0</v>
      </c>
      <c r="H191" s="246">
        <v>10</v>
      </c>
      <c r="I191" s="246">
        <v>45</v>
      </c>
      <c r="J191" s="246">
        <v>0</v>
      </c>
      <c r="K191" s="246">
        <v>0</v>
      </c>
      <c r="L191" s="246">
        <v>0</v>
      </c>
      <c r="M191" s="246">
        <v>36</v>
      </c>
      <c r="N191" s="248">
        <v>0</v>
      </c>
      <c r="P191" s="252"/>
      <c r="Q191" s="21"/>
    </row>
    <row r="192" spans="2:17" x14ac:dyDescent="0.25">
      <c r="B192" s="244">
        <v>27</v>
      </c>
      <c r="C192" s="246">
        <v>37</v>
      </c>
      <c r="D192" s="246">
        <v>0</v>
      </c>
      <c r="E192" s="246">
        <v>0</v>
      </c>
      <c r="F192" s="246">
        <v>25</v>
      </c>
      <c r="G192" s="246">
        <v>0</v>
      </c>
      <c r="H192" s="246">
        <v>8</v>
      </c>
      <c r="I192" s="246">
        <v>0</v>
      </c>
      <c r="J192" s="246">
        <v>0</v>
      </c>
      <c r="K192" s="246">
        <v>0</v>
      </c>
      <c r="L192" s="246">
        <v>0</v>
      </c>
      <c r="M192" s="246">
        <v>0</v>
      </c>
      <c r="N192" s="248">
        <v>10</v>
      </c>
      <c r="P192" s="252"/>
      <c r="Q192" s="21"/>
    </row>
    <row r="193" spans="2:27" x14ac:dyDescent="0.25">
      <c r="B193" s="244">
        <v>28</v>
      </c>
      <c r="C193" s="246">
        <v>13</v>
      </c>
      <c r="D193" s="246">
        <v>0</v>
      </c>
      <c r="E193" s="246">
        <v>12</v>
      </c>
      <c r="F193" s="246">
        <v>10</v>
      </c>
      <c r="G193" s="246">
        <v>20</v>
      </c>
      <c r="H193" s="246">
        <v>0</v>
      </c>
      <c r="I193" s="246">
        <v>0</v>
      </c>
      <c r="J193" s="246">
        <v>0</v>
      </c>
      <c r="K193" s="246">
        <v>0</v>
      </c>
      <c r="L193" s="246">
        <v>0</v>
      </c>
      <c r="M193" s="246">
        <v>0</v>
      </c>
      <c r="N193" s="248">
        <v>9</v>
      </c>
      <c r="P193" s="252"/>
      <c r="Q193" s="21"/>
    </row>
    <row r="194" spans="2:27" x14ac:dyDescent="0.25">
      <c r="B194" s="244">
        <v>29</v>
      </c>
      <c r="C194" s="246">
        <v>0</v>
      </c>
      <c r="D194" s="246"/>
      <c r="E194" s="246">
        <v>0</v>
      </c>
      <c r="F194" s="246">
        <v>0</v>
      </c>
      <c r="G194" s="246">
        <v>0</v>
      </c>
      <c r="H194" s="246">
        <v>0</v>
      </c>
      <c r="I194" s="246">
        <v>0</v>
      </c>
      <c r="J194" s="246">
        <v>0</v>
      </c>
      <c r="K194" s="246">
        <v>0</v>
      </c>
      <c r="L194" s="246">
        <v>0</v>
      </c>
      <c r="M194" s="246">
        <v>0</v>
      </c>
      <c r="N194" s="248">
        <v>0</v>
      </c>
      <c r="P194" s="252"/>
      <c r="Q194" s="21"/>
    </row>
    <row r="195" spans="2:27" x14ac:dyDescent="0.25">
      <c r="B195" s="244">
        <v>30</v>
      </c>
      <c r="C195" s="246">
        <v>8</v>
      </c>
      <c r="D195" s="246"/>
      <c r="E195" s="246">
        <v>47</v>
      </c>
      <c r="F195" s="246">
        <v>0</v>
      </c>
      <c r="G195" s="246">
        <v>0</v>
      </c>
      <c r="H195" s="246">
        <v>0</v>
      </c>
      <c r="I195" s="246">
        <v>0</v>
      </c>
      <c r="J195" s="246">
        <v>0</v>
      </c>
      <c r="K195" s="246">
        <v>0</v>
      </c>
      <c r="L195" s="246">
        <v>0</v>
      </c>
      <c r="M195" s="246">
        <v>0</v>
      </c>
      <c r="N195" s="248">
        <v>0</v>
      </c>
      <c r="P195" s="254"/>
    </row>
    <row r="196" spans="2:27" ht="15.75" thickBot="1" x14ac:dyDescent="0.3">
      <c r="B196" s="51">
        <v>31</v>
      </c>
      <c r="C196" s="243">
        <v>20</v>
      </c>
      <c r="D196" s="243"/>
      <c r="E196" s="243">
        <v>0</v>
      </c>
      <c r="F196" s="243"/>
      <c r="G196" s="243">
        <v>0</v>
      </c>
      <c r="H196" s="243"/>
      <c r="I196" s="243">
        <v>0</v>
      </c>
      <c r="J196" s="243">
        <v>0</v>
      </c>
      <c r="K196" s="243"/>
      <c r="L196" s="243">
        <v>0</v>
      </c>
      <c r="M196" s="243"/>
      <c r="N196" s="52">
        <v>0</v>
      </c>
      <c r="P196" s="252"/>
    </row>
    <row r="197" spans="2:27" x14ac:dyDescent="0.25">
      <c r="B197" s="5" t="s">
        <v>22</v>
      </c>
      <c r="C197" s="6">
        <f>SUM(C166:C196)</f>
        <v>276</v>
      </c>
      <c r="D197" s="105">
        <f t="shared" ref="D197" si="102">SUM(D166:D196)</f>
        <v>209</v>
      </c>
      <c r="E197" s="105">
        <f t="shared" ref="E197" si="103">SUM(E166:E196)</f>
        <v>239</v>
      </c>
      <c r="F197" s="105">
        <f t="shared" ref="F197" si="104">SUM(F166:F196)</f>
        <v>166</v>
      </c>
      <c r="G197" s="105">
        <f t="shared" ref="G197" si="105">SUM(G166:G196)</f>
        <v>115</v>
      </c>
      <c r="H197" s="105">
        <f t="shared" ref="H197" si="106">SUM(H166:H196)</f>
        <v>127</v>
      </c>
      <c r="I197" s="105">
        <f t="shared" ref="I197" si="107">SUM(I166:I196)</f>
        <v>45</v>
      </c>
      <c r="J197" s="105">
        <f t="shared" ref="J197" si="108">SUM(J166:J196)</f>
        <v>0</v>
      </c>
      <c r="K197" s="105">
        <f t="shared" ref="K197" si="109">SUM(K166:K196)</f>
        <v>0</v>
      </c>
      <c r="L197" s="105">
        <f t="shared" ref="L197" si="110">SUM(L166:L196)</f>
        <v>0</v>
      </c>
      <c r="M197" s="105">
        <f t="shared" ref="M197" si="111">SUM(M166:M196)</f>
        <v>274</v>
      </c>
      <c r="N197" s="106">
        <f t="shared" ref="N197" si="112">SUM(N166:N196)</f>
        <v>303</v>
      </c>
      <c r="P197" s="21"/>
    </row>
    <row r="198" spans="2:27" x14ac:dyDescent="0.25">
      <c r="B198" s="107" t="s">
        <v>23</v>
      </c>
      <c r="C198" s="102">
        <f>C197/$T$3</f>
        <v>27.6</v>
      </c>
      <c r="D198" s="101">
        <f t="shared" ref="D198" si="113">D197/$T$3</f>
        <v>20.9</v>
      </c>
      <c r="E198" s="101">
        <f t="shared" ref="E198" si="114">E197/$T$3</f>
        <v>23.9</v>
      </c>
      <c r="F198" s="101">
        <f t="shared" ref="F198" si="115">F197/$T$3</f>
        <v>16.600000000000001</v>
      </c>
      <c r="G198" s="101">
        <f t="shared" ref="G198" si="116">G197/$T$3</f>
        <v>11.5</v>
      </c>
      <c r="H198" s="101">
        <f t="shared" ref="H198" si="117">H197/$T$3</f>
        <v>12.7</v>
      </c>
      <c r="I198" s="101">
        <f t="shared" ref="I198" si="118">I197/$T$3</f>
        <v>4.5</v>
      </c>
      <c r="J198" s="101">
        <f t="shared" ref="J198" si="119">J197/$T$3</f>
        <v>0</v>
      </c>
      <c r="K198" s="101">
        <f t="shared" ref="K198" si="120">K197/$T$3</f>
        <v>0</v>
      </c>
      <c r="L198" s="101">
        <f t="shared" ref="L198" si="121">L197/$T$3</f>
        <v>0</v>
      </c>
      <c r="M198" s="101">
        <f t="shared" ref="M198" si="122">M197/$T$3</f>
        <v>27.4</v>
      </c>
      <c r="N198" s="108">
        <f t="shared" ref="N198" si="123">N197/$T$3</f>
        <v>30.3</v>
      </c>
      <c r="P198" s="234"/>
      <c r="Q198" s="234"/>
      <c r="R198" s="234"/>
      <c r="S198" s="234"/>
      <c r="T198" s="234"/>
      <c r="U198" s="234"/>
      <c r="V198" s="234"/>
      <c r="W198" s="234"/>
      <c r="X198" s="234"/>
      <c r="Y198" s="234"/>
      <c r="Z198" s="234"/>
      <c r="AA198" s="234"/>
    </row>
    <row r="199" spans="2:27" x14ac:dyDescent="0.25">
      <c r="B199" s="107" t="s">
        <v>18</v>
      </c>
      <c r="C199" s="109">
        <f>$T$4*((C198)^$T$5)</f>
        <v>201.38569831814729</v>
      </c>
      <c r="D199" s="110">
        <f t="shared" ref="D199" si="124">$T$4*((D198)^$T$5)</f>
        <v>137.97208357106172</v>
      </c>
      <c r="E199" s="110">
        <f t="shared" ref="E199" si="125">$T$4*((E198)^$T$5)</f>
        <v>165.58211247880277</v>
      </c>
      <c r="F199" s="110">
        <f t="shared" ref="F199" si="126">$T$4*((F198)^$T$5)</f>
        <v>100.86471678523003</v>
      </c>
      <c r="G199" s="110">
        <f t="shared" ref="G199" si="127">$T$4*((G198)^$T$5)</f>
        <v>61.226768252119129</v>
      </c>
      <c r="H199" s="110">
        <f t="shared" ref="H199" si="128">$T$4*((H198)^$T$5)</f>
        <v>70.075359456982639</v>
      </c>
      <c r="I199" s="110">
        <f t="shared" ref="I199" si="129">$T$4*((I198)^$T$5)</f>
        <v>17.090756728078912</v>
      </c>
      <c r="J199" s="110">
        <f t="shared" ref="J199" si="130">$T$4*((J198)^$T$5)</f>
        <v>0</v>
      </c>
      <c r="K199" s="110">
        <f t="shared" ref="K199" si="131">$T$4*((K198)^$T$5)</f>
        <v>0</v>
      </c>
      <c r="L199" s="110">
        <f t="shared" ref="L199" si="132">$T$4*((L198)^$T$5)</f>
        <v>0</v>
      </c>
      <c r="M199" s="110">
        <f t="shared" ref="M199" si="133">$T$4*((M198)^$T$5)</f>
        <v>199.40362038269492</v>
      </c>
      <c r="N199" s="111">
        <f t="shared" ref="N199" si="134">$T$4*((N198)^$T$5)</f>
        <v>228.64107240847048</v>
      </c>
      <c r="P199" s="234"/>
      <c r="Q199" s="234"/>
      <c r="R199" s="234"/>
      <c r="S199" s="234"/>
      <c r="T199" s="234"/>
      <c r="U199" s="234"/>
      <c r="V199" s="234"/>
      <c r="W199" s="234"/>
      <c r="X199" s="234"/>
      <c r="Y199" s="234"/>
      <c r="Z199" s="234"/>
      <c r="AA199" s="234"/>
    </row>
    <row r="200" spans="2:27" ht="15.75" thickBot="1" x14ac:dyDescent="0.3">
      <c r="B200" s="112" t="s">
        <v>19</v>
      </c>
      <c r="C200" s="341">
        <f>SUM(C199:N199)</f>
        <v>1182.2421883815878</v>
      </c>
      <c r="D200" s="341"/>
      <c r="E200" s="341"/>
      <c r="F200" s="341"/>
      <c r="G200" s="341"/>
      <c r="H200" s="341"/>
      <c r="I200" s="341"/>
      <c r="J200" s="341"/>
      <c r="K200" s="341"/>
      <c r="L200" s="341"/>
      <c r="M200" s="341"/>
      <c r="N200" s="342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</row>
    <row r="201" spans="2:27" x14ac:dyDescent="0.25"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</row>
    <row r="203" spans="2:27" ht="15.75" thickBot="1" x14ac:dyDescent="0.3">
      <c r="B203" s="235" t="s">
        <v>27</v>
      </c>
      <c r="O203" s="21"/>
      <c r="P203" s="21"/>
      <c r="Q203" s="21"/>
      <c r="R203" s="21"/>
      <c r="S203" s="21"/>
    </row>
    <row r="204" spans="2:27" ht="15.75" thickBot="1" x14ac:dyDescent="0.3">
      <c r="B204" s="347" t="s">
        <v>0</v>
      </c>
      <c r="C204" s="349" t="s">
        <v>7</v>
      </c>
      <c r="D204" s="350"/>
      <c r="E204" s="350"/>
      <c r="F204" s="350"/>
      <c r="G204" s="350"/>
      <c r="H204" s="350"/>
      <c r="I204" s="350"/>
      <c r="J204" s="350"/>
      <c r="K204" s="350"/>
      <c r="L204" s="350"/>
      <c r="M204" s="350"/>
      <c r="N204" s="351"/>
      <c r="O204" s="240"/>
      <c r="P204" s="352"/>
      <c r="Q204" s="240"/>
      <c r="R204" s="252"/>
      <c r="S204" s="240"/>
    </row>
    <row r="205" spans="2:27" ht="15.75" thickBot="1" x14ac:dyDescent="0.3">
      <c r="B205" s="348"/>
      <c r="C205" s="243" t="s">
        <v>1</v>
      </c>
      <c r="D205" s="243" t="s">
        <v>2</v>
      </c>
      <c r="E205" s="243" t="s">
        <v>3</v>
      </c>
      <c r="F205" s="243" t="s">
        <v>4</v>
      </c>
      <c r="G205" s="243" t="s">
        <v>5</v>
      </c>
      <c r="H205" s="243" t="s">
        <v>6</v>
      </c>
      <c r="I205" s="243" t="s">
        <v>8</v>
      </c>
      <c r="J205" s="243" t="s">
        <v>9</v>
      </c>
      <c r="K205" s="243" t="s">
        <v>10</v>
      </c>
      <c r="L205" s="243" t="s">
        <v>11</v>
      </c>
      <c r="M205" s="243" t="s">
        <v>12</v>
      </c>
      <c r="N205" s="52" t="s">
        <v>13</v>
      </c>
      <c r="P205" s="352"/>
      <c r="R205" s="252"/>
    </row>
    <row r="206" spans="2:27" x14ac:dyDescent="0.25">
      <c r="B206" s="244">
        <v>1</v>
      </c>
      <c r="C206" s="246">
        <v>4</v>
      </c>
      <c r="D206" s="246">
        <v>16</v>
      </c>
      <c r="E206" s="246">
        <v>0</v>
      </c>
      <c r="F206" s="246">
        <v>0</v>
      </c>
      <c r="G206" s="247">
        <v>0</v>
      </c>
      <c r="H206" s="247">
        <v>5</v>
      </c>
      <c r="I206" s="247">
        <v>0</v>
      </c>
      <c r="J206" s="247">
        <v>0</v>
      </c>
      <c r="K206" s="247">
        <v>0</v>
      </c>
      <c r="L206" s="247">
        <v>0</v>
      </c>
      <c r="M206" s="246">
        <v>0</v>
      </c>
      <c r="N206" s="248">
        <v>0</v>
      </c>
      <c r="P206" s="252"/>
      <c r="Q206" s="21"/>
      <c r="R206" s="252"/>
    </row>
    <row r="207" spans="2:27" x14ac:dyDescent="0.25">
      <c r="B207" s="244">
        <v>2</v>
      </c>
      <c r="C207" s="246">
        <v>12</v>
      </c>
      <c r="D207" s="246">
        <v>0</v>
      </c>
      <c r="E207" s="246">
        <v>0</v>
      </c>
      <c r="F207" s="246">
        <v>16</v>
      </c>
      <c r="G207" s="246">
        <v>0</v>
      </c>
      <c r="H207" s="246">
        <v>0</v>
      </c>
      <c r="I207" s="246">
        <v>0</v>
      </c>
      <c r="J207" s="246">
        <v>0</v>
      </c>
      <c r="K207" s="246">
        <v>0</v>
      </c>
      <c r="L207" s="246">
        <v>0</v>
      </c>
      <c r="M207" s="246">
        <v>0</v>
      </c>
      <c r="N207" s="248">
        <v>0</v>
      </c>
      <c r="P207" s="252"/>
      <c r="Q207" s="21"/>
      <c r="R207" s="252"/>
    </row>
    <row r="208" spans="2:27" x14ac:dyDescent="0.25">
      <c r="B208" s="244">
        <v>3</v>
      </c>
      <c r="C208" s="246">
        <v>0</v>
      </c>
      <c r="D208" s="246">
        <v>0</v>
      </c>
      <c r="E208" s="246">
        <v>11</v>
      </c>
      <c r="F208" s="246">
        <v>2</v>
      </c>
      <c r="G208" s="246">
        <v>8</v>
      </c>
      <c r="H208" s="246">
        <v>0</v>
      </c>
      <c r="I208" s="246">
        <v>0</v>
      </c>
      <c r="J208" s="246">
        <v>0</v>
      </c>
      <c r="K208" s="246">
        <v>0</v>
      </c>
      <c r="L208" s="246">
        <v>0</v>
      </c>
      <c r="M208" s="246">
        <v>0</v>
      </c>
      <c r="N208" s="248">
        <v>0</v>
      </c>
      <c r="P208" s="252"/>
      <c r="Q208" s="21"/>
      <c r="R208" s="252"/>
    </row>
    <row r="209" spans="2:18" x14ac:dyDescent="0.25">
      <c r="B209" s="244">
        <v>4</v>
      </c>
      <c r="C209" s="246">
        <v>0</v>
      </c>
      <c r="D209" s="246">
        <v>0</v>
      </c>
      <c r="E209" s="246">
        <v>0</v>
      </c>
      <c r="F209" s="246">
        <v>3</v>
      </c>
      <c r="G209" s="246">
        <v>0</v>
      </c>
      <c r="H209" s="246">
        <v>0</v>
      </c>
      <c r="I209" s="246">
        <v>0</v>
      </c>
      <c r="J209" s="246">
        <v>0</v>
      </c>
      <c r="K209" s="246">
        <v>0</v>
      </c>
      <c r="L209" s="246">
        <v>0</v>
      </c>
      <c r="M209" s="246">
        <v>0</v>
      </c>
      <c r="N209" s="248">
        <v>0</v>
      </c>
      <c r="P209" s="252"/>
      <c r="Q209" s="21"/>
      <c r="R209" s="252"/>
    </row>
    <row r="210" spans="2:18" x14ac:dyDescent="0.25">
      <c r="B210" s="244">
        <v>5</v>
      </c>
      <c r="C210" s="246">
        <v>7</v>
      </c>
      <c r="D210" s="246">
        <v>8</v>
      </c>
      <c r="E210" s="246">
        <v>0</v>
      </c>
      <c r="F210" s="246">
        <v>4</v>
      </c>
      <c r="G210" s="246">
        <v>0</v>
      </c>
      <c r="H210" s="246">
        <v>0</v>
      </c>
      <c r="I210" s="246">
        <v>0</v>
      </c>
      <c r="J210" s="246">
        <v>0</v>
      </c>
      <c r="K210" s="246">
        <v>0</v>
      </c>
      <c r="L210" s="246">
        <v>0</v>
      </c>
      <c r="M210" s="246">
        <v>0</v>
      </c>
      <c r="N210" s="248">
        <v>0</v>
      </c>
      <c r="P210" s="252"/>
      <c r="Q210" s="21"/>
      <c r="R210" s="252"/>
    </row>
    <row r="211" spans="2:18" x14ac:dyDescent="0.25">
      <c r="B211" s="244">
        <v>6</v>
      </c>
      <c r="C211" s="246">
        <v>0</v>
      </c>
      <c r="D211" s="246">
        <v>0</v>
      </c>
      <c r="E211" s="246">
        <v>6</v>
      </c>
      <c r="F211" s="246">
        <v>0</v>
      </c>
      <c r="G211" s="246">
        <v>0</v>
      </c>
      <c r="H211" s="246">
        <v>0</v>
      </c>
      <c r="I211" s="246">
        <v>0</v>
      </c>
      <c r="J211" s="246">
        <v>0</v>
      </c>
      <c r="K211" s="246">
        <v>0</v>
      </c>
      <c r="L211" s="246">
        <v>0</v>
      </c>
      <c r="M211" s="246">
        <v>0</v>
      </c>
      <c r="N211" s="248">
        <v>6</v>
      </c>
      <c r="P211" s="252"/>
      <c r="Q211" s="21"/>
      <c r="R211" s="252"/>
    </row>
    <row r="212" spans="2:18" x14ac:dyDescent="0.25">
      <c r="B212" s="244">
        <v>7</v>
      </c>
      <c r="C212" s="246">
        <v>0</v>
      </c>
      <c r="D212" s="246">
        <v>4</v>
      </c>
      <c r="E212" s="246">
        <v>7</v>
      </c>
      <c r="F212" s="246">
        <v>6</v>
      </c>
      <c r="G212" s="246">
        <v>4</v>
      </c>
      <c r="H212" s="246">
        <v>0</v>
      </c>
      <c r="I212" s="246">
        <v>0</v>
      </c>
      <c r="J212" s="246">
        <v>0</v>
      </c>
      <c r="K212" s="246">
        <v>0</v>
      </c>
      <c r="L212" s="246">
        <v>0</v>
      </c>
      <c r="M212" s="246">
        <v>14</v>
      </c>
      <c r="N212" s="248">
        <v>0</v>
      </c>
      <c r="P212" s="252"/>
      <c r="Q212" s="21"/>
      <c r="R212" s="252"/>
    </row>
    <row r="213" spans="2:18" x14ac:dyDescent="0.25">
      <c r="B213" s="244">
        <v>8</v>
      </c>
      <c r="C213" s="246">
        <v>0</v>
      </c>
      <c r="D213" s="246">
        <v>23</v>
      </c>
      <c r="E213" s="246">
        <v>0</v>
      </c>
      <c r="F213" s="246">
        <v>8</v>
      </c>
      <c r="G213" s="246">
        <v>0</v>
      </c>
      <c r="H213" s="246">
        <v>0</v>
      </c>
      <c r="I213" s="246">
        <v>0</v>
      </c>
      <c r="J213" s="246">
        <v>0</v>
      </c>
      <c r="K213" s="246">
        <v>0</v>
      </c>
      <c r="L213" s="246">
        <v>0</v>
      </c>
      <c r="M213" s="246">
        <v>22</v>
      </c>
      <c r="N213" s="248">
        <v>0</v>
      </c>
      <c r="P213" s="252"/>
      <c r="Q213" s="21"/>
      <c r="R213" s="252"/>
    </row>
    <row r="214" spans="2:18" x14ac:dyDescent="0.25">
      <c r="B214" s="244">
        <v>9</v>
      </c>
      <c r="C214" s="246">
        <v>0</v>
      </c>
      <c r="D214" s="246">
        <v>20</v>
      </c>
      <c r="E214" s="246">
        <v>0</v>
      </c>
      <c r="F214" s="246">
        <v>6</v>
      </c>
      <c r="G214" s="246">
        <v>0</v>
      </c>
      <c r="H214" s="246">
        <v>15</v>
      </c>
      <c r="I214" s="246">
        <v>0</v>
      </c>
      <c r="J214" s="246">
        <v>0</v>
      </c>
      <c r="K214" s="246">
        <v>0</v>
      </c>
      <c r="L214" s="246">
        <v>0</v>
      </c>
      <c r="M214" s="246">
        <v>0</v>
      </c>
      <c r="N214" s="248">
        <v>36</v>
      </c>
      <c r="P214" s="252"/>
      <c r="Q214" s="21"/>
      <c r="R214" s="252"/>
    </row>
    <row r="215" spans="2:18" x14ac:dyDescent="0.25">
      <c r="B215" s="244">
        <v>10</v>
      </c>
      <c r="C215" s="246">
        <v>0</v>
      </c>
      <c r="D215" s="246">
        <v>12</v>
      </c>
      <c r="E215" s="246">
        <v>0</v>
      </c>
      <c r="F215" s="246">
        <v>0</v>
      </c>
      <c r="G215" s="246">
        <v>0</v>
      </c>
      <c r="H215" s="246">
        <v>0</v>
      </c>
      <c r="I215" s="246">
        <v>0</v>
      </c>
      <c r="J215" s="246">
        <v>0</v>
      </c>
      <c r="K215" s="246">
        <v>0</v>
      </c>
      <c r="L215" s="246">
        <v>0</v>
      </c>
      <c r="M215" s="246">
        <v>0</v>
      </c>
      <c r="N215" s="248">
        <v>0</v>
      </c>
      <c r="P215" s="252"/>
      <c r="Q215" s="21"/>
      <c r="R215" s="252"/>
    </row>
    <row r="216" spans="2:18" x14ac:dyDescent="0.25">
      <c r="B216" s="244">
        <v>11</v>
      </c>
      <c r="C216" s="246">
        <v>5</v>
      </c>
      <c r="D216" s="246">
        <v>10</v>
      </c>
      <c r="E216" s="246">
        <v>0</v>
      </c>
      <c r="F216" s="246">
        <v>0</v>
      </c>
      <c r="G216" s="246">
        <v>0</v>
      </c>
      <c r="H216" s="246">
        <v>0</v>
      </c>
      <c r="I216" s="246">
        <v>0</v>
      </c>
      <c r="J216" s="246">
        <v>0</v>
      </c>
      <c r="K216" s="246">
        <v>0</v>
      </c>
      <c r="L216" s="246">
        <v>0</v>
      </c>
      <c r="M216" s="246">
        <v>0</v>
      </c>
      <c r="N216" s="248">
        <v>0</v>
      </c>
      <c r="P216" s="252"/>
      <c r="Q216" s="21"/>
      <c r="R216" s="252"/>
    </row>
    <row r="217" spans="2:18" x14ac:dyDescent="0.25">
      <c r="B217" s="244">
        <v>12</v>
      </c>
      <c r="C217" s="246">
        <v>9</v>
      </c>
      <c r="D217" s="246">
        <v>3</v>
      </c>
      <c r="E217" s="246">
        <v>0</v>
      </c>
      <c r="F217" s="246">
        <v>0</v>
      </c>
      <c r="G217" s="246">
        <v>0</v>
      </c>
      <c r="H217" s="246">
        <v>0</v>
      </c>
      <c r="I217" s="246">
        <v>0</v>
      </c>
      <c r="J217" s="246">
        <v>0</v>
      </c>
      <c r="K217" s="246">
        <v>0</v>
      </c>
      <c r="L217" s="246">
        <v>0</v>
      </c>
      <c r="M217" s="246">
        <v>15</v>
      </c>
      <c r="N217" s="248">
        <v>75</v>
      </c>
      <c r="P217" s="252"/>
      <c r="Q217" s="21"/>
      <c r="R217" s="252"/>
    </row>
    <row r="218" spans="2:18" x14ac:dyDescent="0.25">
      <c r="B218" s="244">
        <v>13</v>
      </c>
      <c r="C218" s="246">
        <v>40</v>
      </c>
      <c r="D218" s="246">
        <v>4</v>
      </c>
      <c r="E218" s="246">
        <v>0</v>
      </c>
      <c r="F218" s="246">
        <v>4</v>
      </c>
      <c r="G218" s="246">
        <v>0</v>
      </c>
      <c r="H218" s="246">
        <v>0</v>
      </c>
      <c r="I218" s="246">
        <v>0</v>
      </c>
      <c r="J218" s="246">
        <v>0</v>
      </c>
      <c r="K218" s="246">
        <v>0</v>
      </c>
      <c r="L218" s="246">
        <v>0</v>
      </c>
      <c r="M218" s="246">
        <v>0</v>
      </c>
      <c r="N218" s="248">
        <v>0</v>
      </c>
      <c r="P218" s="252"/>
      <c r="Q218" s="21"/>
      <c r="R218" s="252"/>
    </row>
    <row r="219" spans="2:18" x14ac:dyDescent="0.25">
      <c r="B219" s="244">
        <v>14</v>
      </c>
      <c r="C219" s="246">
        <v>33</v>
      </c>
      <c r="D219" s="246">
        <v>0</v>
      </c>
      <c r="E219" s="246">
        <v>0</v>
      </c>
      <c r="F219" s="246">
        <v>0</v>
      </c>
      <c r="G219" s="246">
        <v>0</v>
      </c>
      <c r="H219" s="246">
        <v>0</v>
      </c>
      <c r="I219" s="246">
        <v>0</v>
      </c>
      <c r="J219" s="246">
        <v>0</v>
      </c>
      <c r="K219" s="246">
        <v>0</v>
      </c>
      <c r="L219" s="246">
        <v>0</v>
      </c>
      <c r="M219" s="246">
        <v>0</v>
      </c>
      <c r="N219" s="248">
        <v>16</v>
      </c>
      <c r="P219" s="252"/>
      <c r="Q219" s="21"/>
      <c r="R219" s="252"/>
    </row>
    <row r="220" spans="2:18" x14ac:dyDescent="0.25">
      <c r="B220" s="244">
        <v>15</v>
      </c>
      <c r="C220" s="246">
        <v>37</v>
      </c>
      <c r="D220" s="246">
        <v>5</v>
      </c>
      <c r="E220" s="246">
        <v>0</v>
      </c>
      <c r="F220" s="246">
        <v>16</v>
      </c>
      <c r="G220" s="246">
        <v>0</v>
      </c>
      <c r="H220" s="246">
        <v>0</v>
      </c>
      <c r="I220" s="246">
        <v>0</v>
      </c>
      <c r="J220" s="246">
        <v>0</v>
      </c>
      <c r="K220" s="246">
        <v>0</v>
      </c>
      <c r="L220" s="246">
        <v>0</v>
      </c>
      <c r="M220" s="246">
        <v>0</v>
      </c>
      <c r="N220" s="248">
        <v>0</v>
      </c>
      <c r="P220" s="252"/>
      <c r="Q220" s="21"/>
      <c r="R220" s="252"/>
    </row>
    <row r="221" spans="2:18" x14ac:dyDescent="0.25">
      <c r="B221" s="244">
        <v>16</v>
      </c>
      <c r="C221" s="246">
        <v>0</v>
      </c>
      <c r="D221" s="246">
        <v>0</v>
      </c>
      <c r="E221" s="246">
        <v>20</v>
      </c>
      <c r="F221" s="246">
        <v>11</v>
      </c>
      <c r="G221" s="246">
        <v>0</v>
      </c>
      <c r="H221" s="246">
        <v>0</v>
      </c>
      <c r="I221" s="246">
        <v>0</v>
      </c>
      <c r="J221" s="246">
        <v>0</v>
      </c>
      <c r="K221" s="246">
        <v>0</v>
      </c>
      <c r="L221" s="246">
        <v>0</v>
      </c>
      <c r="M221" s="246">
        <v>0</v>
      </c>
      <c r="N221" s="248">
        <v>0</v>
      </c>
      <c r="P221" s="252"/>
      <c r="Q221" s="21"/>
      <c r="R221" s="252"/>
    </row>
    <row r="222" spans="2:18" x14ac:dyDescent="0.25">
      <c r="B222" s="244">
        <v>17</v>
      </c>
      <c r="C222" s="246">
        <v>0</v>
      </c>
      <c r="D222" s="246">
        <v>0</v>
      </c>
      <c r="E222" s="246">
        <v>0</v>
      </c>
      <c r="F222" s="246">
        <v>0</v>
      </c>
      <c r="G222" s="246">
        <v>0</v>
      </c>
      <c r="H222" s="246">
        <v>0</v>
      </c>
      <c r="I222" s="246">
        <v>0</v>
      </c>
      <c r="J222" s="246">
        <v>0</v>
      </c>
      <c r="K222" s="246">
        <v>0</v>
      </c>
      <c r="L222" s="246">
        <v>0</v>
      </c>
      <c r="M222" s="246">
        <v>0</v>
      </c>
      <c r="N222" s="248">
        <v>0</v>
      </c>
      <c r="P222" s="252"/>
      <c r="Q222" s="21"/>
      <c r="R222" s="252"/>
    </row>
    <row r="223" spans="2:18" x14ac:dyDescent="0.25">
      <c r="B223" s="244">
        <v>18</v>
      </c>
      <c r="C223" s="246">
        <v>10</v>
      </c>
      <c r="D223" s="246">
        <v>16</v>
      </c>
      <c r="E223" s="246">
        <v>0</v>
      </c>
      <c r="F223" s="246">
        <v>0</v>
      </c>
      <c r="G223" s="246">
        <v>0</v>
      </c>
      <c r="H223" s="246">
        <v>0</v>
      </c>
      <c r="I223" s="246">
        <v>0</v>
      </c>
      <c r="J223" s="246">
        <v>0</v>
      </c>
      <c r="K223" s="246">
        <v>0</v>
      </c>
      <c r="L223" s="246">
        <v>0</v>
      </c>
      <c r="M223" s="246">
        <v>0</v>
      </c>
      <c r="N223" s="248">
        <v>8</v>
      </c>
      <c r="P223" s="252"/>
      <c r="Q223" s="21"/>
      <c r="R223" s="252"/>
    </row>
    <row r="224" spans="2:18" x14ac:dyDescent="0.25">
      <c r="B224" s="244">
        <v>19</v>
      </c>
      <c r="C224" s="246">
        <v>0</v>
      </c>
      <c r="D224" s="246">
        <v>0</v>
      </c>
      <c r="E224" s="246">
        <v>11</v>
      </c>
      <c r="F224" s="246">
        <v>0</v>
      </c>
      <c r="G224" s="246">
        <v>0</v>
      </c>
      <c r="H224" s="246">
        <v>0</v>
      </c>
      <c r="I224" s="246">
        <v>0</v>
      </c>
      <c r="J224" s="246">
        <v>0</v>
      </c>
      <c r="K224" s="246">
        <v>0</v>
      </c>
      <c r="L224" s="246">
        <v>0</v>
      </c>
      <c r="M224" s="246">
        <v>10</v>
      </c>
      <c r="N224" s="248">
        <v>0</v>
      </c>
      <c r="P224" s="252"/>
      <c r="Q224" s="21"/>
      <c r="R224" s="252"/>
    </row>
    <row r="225" spans="2:27" x14ac:dyDescent="0.25">
      <c r="B225" s="244">
        <v>20</v>
      </c>
      <c r="C225" s="246">
        <v>37</v>
      </c>
      <c r="D225" s="246">
        <v>40</v>
      </c>
      <c r="E225" s="246">
        <v>59</v>
      </c>
      <c r="F225" s="246">
        <v>0</v>
      </c>
      <c r="G225" s="246">
        <v>0</v>
      </c>
      <c r="H225" s="246">
        <v>0</v>
      </c>
      <c r="I225" s="246">
        <v>0</v>
      </c>
      <c r="J225" s="246">
        <v>0</v>
      </c>
      <c r="K225" s="246">
        <v>0</v>
      </c>
      <c r="L225" s="246">
        <v>0</v>
      </c>
      <c r="M225" s="246">
        <v>0</v>
      </c>
      <c r="N225" s="248">
        <v>0</v>
      </c>
      <c r="P225" s="252"/>
      <c r="Q225" s="21"/>
      <c r="R225" s="252"/>
    </row>
    <row r="226" spans="2:27" x14ac:dyDescent="0.25">
      <c r="B226" s="244">
        <v>21</v>
      </c>
      <c r="C226" s="246">
        <v>0</v>
      </c>
      <c r="D226" s="246">
        <v>0</v>
      </c>
      <c r="E226" s="246">
        <v>0</v>
      </c>
      <c r="F226" s="246">
        <v>18</v>
      </c>
      <c r="G226" s="246">
        <v>0</v>
      </c>
      <c r="H226" s="246">
        <v>0</v>
      </c>
      <c r="I226" s="246">
        <v>0</v>
      </c>
      <c r="J226" s="246">
        <v>0</v>
      </c>
      <c r="K226" s="246">
        <v>0</v>
      </c>
      <c r="L226" s="246">
        <v>0</v>
      </c>
      <c r="M226" s="246">
        <v>8</v>
      </c>
      <c r="N226" s="248">
        <v>0</v>
      </c>
      <c r="P226" s="252"/>
      <c r="Q226" s="21"/>
      <c r="R226" s="252"/>
    </row>
    <row r="227" spans="2:27" x14ac:dyDescent="0.25">
      <c r="B227" s="244">
        <v>22</v>
      </c>
      <c r="C227" s="246">
        <v>20</v>
      </c>
      <c r="D227" s="246">
        <v>0</v>
      </c>
      <c r="E227" s="246">
        <v>0</v>
      </c>
      <c r="F227" s="246">
        <v>2</v>
      </c>
      <c r="G227" s="246">
        <v>0</v>
      </c>
      <c r="H227" s="246">
        <v>0</v>
      </c>
      <c r="I227" s="246">
        <v>0</v>
      </c>
      <c r="J227" s="246">
        <v>0</v>
      </c>
      <c r="K227" s="246">
        <v>0</v>
      </c>
      <c r="L227" s="246">
        <v>0</v>
      </c>
      <c r="M227" s="246">
        <v>0</v>
      </c>
      <c r="N227" s="248">
        <v>0</v>
      </c>
      <c r="P227" s="252"/>
      <c r="Q227" s="21"/>
      <c r="R227" s="252"/>
    </row>
    <row r="228" spans="2:27" x14ac:dyDescent="0.25">
      <c r="B228" s="244">
        <v>23</v>
      </c>
      <c r="C228" s="246">
        <v>0</v>
      </c>
      <c r="D228" s="246">
        <v>10</v>
      </c>
      <c r="E228" s="246">
        <v>0</v>
      </c>
      <c r="F228" s="246">
        <v>100</v>
      </c>
      <c r="G228" s="246">
        <v>0</v>
      </c>
      <c r="H228" s="246">
        <v>0</v>
      </c>
      <c r="I228" s="246">
        <v>0</v>
      </c>
      <c r="J228" s="246">
        <v>0</v>
      </c>
      <c r="K228" s="246">
        <v>0</v>
      </c>
      <c r="L228" s="246">
        <v>0</v>
      </c>
      <c r="M228" s="246">
        <v>0</v>
      </c>
      <c r="N228" s="248">
        <v>0</v>
      </c>
      <c r="P228" s="252"/>
      <c r="Q228" s="21"/>
      <c r="R228" s="252"/>
    </row>
    <row r="229" spans="2:27" x14ac:dyDescent="0.25">
      <c r="B229" s="244">
        <v>24</v>
      </c>
      <c r="C229" s="246">
        <v>6</v>
      </c>
      <c r="D229" s="246">
        <v>7</v>
      </c>
      <c r="E229" s="246">
        <v>0</v>
      </c>
      <c r="F229" s="246">
        <v>6</v>
      </c>
      <c r="G229" s="246">
        <v>0</v>
      </c>
      <c r="H229" s="246">
        <v>0</v>
      </c>
      <c r="I229" s="246">
        <v>0</v>
      </c>
      <c r="J229" s="246">
        <v>0</v>
      </c>
      <c r="K229" s="246">
        <v>0</v>
      </c>
      <c r="L229" s="246">
        <v>0</v>
      </c>
      <c r="M229" s="246">
        <v>0</v>
      </c>
      <c r="N229" s="248">
        <v>0</v>
      </c>
      <c r="P229" s="252"/>
      <c r="Q229" s="21"/>
      <c r="R229" s="252"/>
    </row>
    <row r="230" spans="2:27" x14ac:dyDescent="0.25">
      <c r="B230" s="244">
        <v>25</v>
      </c>
      <c r="C230" s="246">
        <v>0</v>
      </c>
      <c r="D230" s="246">
        <v>0</v>
      </c>
      <c r="E230" s="246">
        <v>7</v>
      </c>
      <c r="F230" s="246">
        <v>13</v>
      </c>
      <c r="G230" s="246">
        <v>0</v>
      </c>
      <c r="H230" s="246">
        <v>0</v>
      </c>
      <c r="I230" s="246">
        <v>0</v>
      </c>
      <c r="J230" s="246">
        <v>0</v>
      </c>
      <c r="K230" s="246">
        <v>0</v>
      </c>
      <c r="L230" s="246">
        <v>0</v>
      </c>
      <c r="M230" s="246">
        <v>0</v>
      </c>
      <c r="N230" s="248">
        <v>15</v>
      </c>
      <c r="P230" s="252"/>
      <c r="Q230" s="21"/>
      <c r="R230" s="252"/>
    </row>
    <row r="231" spans="2:27" x14ac:dyDescent="0.25">
      <c r="B231" s="244">
        <v>26</v>
      </c>
      <c r="C231" s="246">
        <v>5</v>
      </c>
      <c r="D231" s="246">
        <v>0</v>
      </c>
      <c r="E231" s="246">
        <v>0</v>
      </c>
      <c r="F231" s="246">
        <v>15</v>
      </c>
      <c r="G231" s="246">
        <v>0</v>
      </c>
      <c r="H231" s="246">
        <v>0</v>
      </c>
      <c r="I231" s="246">
        <v>0</v>
      </c>
      <c r="J231" s="246">
        <v>0</v>
      </c>
      <c r="K231" s="246">
        <v>0</v>
      </c>
      <c r="L231" s="246">
        <v>0</v>
      </c>
      <c r="M231" s="246">
        <v>0</v>
      </c>
      <c r="N231" s="248">
        <v>22</v>
      </c>
      <c r="P231" s="252"/>
      <c r="Q231" s="21"/>
      <c r="R231" s="252"/>
    </row>
    <row r="232" spans="2:27" x14ac:dyDescent="0.25">
      <c r="B232" s="244">
        <v>27</v>
      </c>
      <c r="C232" s="246">
        <v>0</v>
      </c>
      <c r="D232" s="246">
        <v>0</v>
      </c>
      <c r="E232" s="246">
        <v>0</v>
      </c>
      <c r="F232" s="246">
        <v>4</v>
      </c>
      <c r="G232" s="246">
        <v>0</v>
      </c>
      <c r="H232" s="246">
        <v>0</v>
      </c>
      <c r="I232" s="246">
        <v>0</v>
      </c>
      <c r="J232" s="246">
        <v>0</v>
      </c>
      <c r="K232" s="246">
        <v>0</v>
      </c>
      <c r="L232" s="246">
        <v>0</v>
      </c>
      <c r="M232" s="246">
        <v>0</v>
      </c>
      <c r="N232" s="248">
        <v>0</v>
      </c>
      <c r="P232" s="252"/>
      <c r="Q232" s="21"/>
      <c r="R232" s="252"/>
    </row>
    <row r="233" spans="2:27" x14ac:dyDescent="0.25">
      <c r="B233" s="244">
        <v>28</v>
      </c>
      <c r="C233" s="246">
        <v>35</v>
      </c>
      <c r="D233" s="246">
        <v>0</v>
      </c>
      <c r="E233" s="246">
        <v>0</v>
      </c>
      <c r="F233" s="246">
        <v>16</v>
      </c>
      <c r="G233" s="246">
        <v>7</v>
      </c>
      <c r="H233" s="246">
        <v>0</v>
      </c>
      <c r="I233" s="246">
        <v>0</v>
      </c>
      <c r="J233" s="246">
        <v>0</v>
      </c>
      <c r="K233" s="246">
        <v>0</v>
      </c>
      <c r="L233" s="246">
        <v>0</v>
      </c>
      <c r="M233" s="246">
        <v>0</v>
      </c>
      <c r="N233" s="248">
        <v>14</v>
      </c>
      <c r="P233" s="252"/>
      <c r="Q233" s="21"/>
      <c r="R233" s="252"/>
    </row>
    <row r="234" spans="2:27" x14ac:dyDescent="0.25">
      <c r="B234" s="244">
        <v>29</v>
      </c>
      <c r="C234" s="246">
        <v>0</v>
      </c>
      <c r="D234" s="246"/>
      <c r="E234" s="246">
        <v>10</v>
      </c>
      <c r="F234" s="246">
        <v>0</v>
      </c>
      <c r="G234" s="246">
        <v>0</v>
      </c>
      <c r="H234" s="246">
        <v>0</v>
      </c>
      <c r="I234" s="246">
        <v>0</v>
      </c>
      <c r="J234" s="246">
        <v>0</v>
      </c>
      <c r="K234" s="246">
        <v>0</v>
      </c>
      <c r="L234" s="246">
        <v>4</v>
      </c>
      <c r="M234" s="246">
        <v>0</v>
      </c>
      <c r="N234" s="248">
        <v>4</v>
      </c>
      <c r="P234" s="252"/>
      <c r="Q234" s="21"/>
      <c r="R234" s="252"/>
    </row>
    <row r="235" spans="2:27" x14ac:dyDescent="0.25">
      <c r="B235" s="244">
        <v>30</v>
      </c>
      <c r="C235" s="246">
        <v>8</v>
      </c>
      <c r="D235" s="246"/>
      <c r="E235" s="246">
        <v>0</v>
      </c>
      <c r="F235" s="246">
        <v>30</v>
      </c>
      <c r="G235" s="246">
        <v>0</v>
      </c>
      <c r="H235" s="246">
        <v>0</v>
      </c>
      <c r="I235" s="246">
        <v>0</v>
      </c>
      <c r="J235" s="246">
        <v>0</v>
      </c>
      <c r="K235" s="246">
        <v>0</v>
      </c>
      <c r="L235" s="246">
        <v>0</v>
      </c>
      <c r="M235" s="246">
        <v>4</v>
      </c>
      <c r="N235" s="248">
        <v>0</v>
      </c>
      <c r="P235" s="252"/>
      <c r="Q235" s="21"/>
      <c r="R235" s="252"/>
    </row>
    <row r="236" spans="2:27" ht="15.75" thickBot="1" x14ac:dyDescent="0.3">
      <c r="B236" s="51">
        <v>31</v>
      </c>
      <c r="C236" s="243">
        <v>4</v>
      </c>
      <c r="D236" s="243"/>
      <c r="E236" s="243">
        <v>0</v>
      </c>
      <c r="F236" s="243"/>
      <c r="G236" s="243">
        <v>0</v>
      </c>
      <c r="H236" s="243"/>
      <c r="I236" s="243">
        <v>0</v>
      </c>
      <c r="J236" s="243">
        <v>0</v>
      </c>
      <c r="K236" s="243"/>
      <c r="L236" s="243">
        <v>0</v>
      </c>
      <c r="M236" s="243">
        <v>7</v>
      </c>
      <c r="N236" s="52">
        <v>0</v>
      </c>
      <c r="P236" s="252"/>
      <c r="Q236" s="21"/>
      <c r="R236" s="252"/>
    </row>
    <row r="237" spans="2:27" x14ac:dyDescent="0.25">
      <c r="B237" s="5" t="s">
        <v>22</v>
      </c>
      <c r="C237" s="6">
        <f>SUM(C206:C236)</f>
        <v>272</v>
      </c>
      <c r="D237" s="105">
        <f t="shared" ref="D237" si="135">SUM(D206:D236)</f>
        <v>178</v>
      </c>
      <c r="E237" s="105">
        <f t="shared" ref="E237" si="136">SUM(E206:E236)</f>
        <v>131</v>
      </c>
      <c r="F237" s="105">
        <f t="shared" ref="F237" si="137">SUM(F206:F236)</f>
        <v>280</v>
      </c>
      <c r="G237" s="105">
        <f t="shared" ref="G237" si="138">SUM(G206:G236)</f>
        <v>19</v>
      </c>
      <c r="H237" s="105">
        <f t="shared" ref="H237" si="139">SUM(H206:H236)</f>
        <v>20</v>
      </c>
      <c r="I237" s="105">
        <f t="shared" ref="I237" si="140">SUM(I206:I236)</f>
        <v>0</v>
      </c>
      <c r="J237" s="105">
        <f t="shared" ref="J237" si="141">SUM(J206:J236)</f>
        <v>0</v>
      </c>
      <c r="K237" s="105">
        <f t="shared" ref="K237" si="142">SUM(K206:K236)</f>
        <v>0</v>
      </c>
      <c r="L237" s="105">
        <f t="shared" ref="L237" si="143">SUM(L206:L236)</f>
        <v>4</v>
      </c>
      <c r="M237" s="105">
        <f t="shared" ref="M237" si="144">SUM(M206:M236)</f>
        <v>80</v>
      </c>
      <c r="N237" s="106">
        <f t="shared" ref="N237" si="145">SUM(N206:N236)</f>
        <v>196</v>
      </c>
      <c r="P237" s="21"/>
      <c r="Q237" s="21"/>
      <c r="R237" s="21"/>
    </row>
    <row r="238" spans="2:27" x14ac:dyDescent="0.25">
      <c r="B238" s="107" t="s">
        <v>23</v>
      </c>
      <c r="C238" s="102">
        <f>C237/$T$3</f>
        <v>27.2</v>
      </c>
      <c r="D238" s="101">
        <f t="shared" ref="D238" si="146">D237/$T$3</f>
        <v>17.8</v>
      </c>
      <c r="E238" s="101">
        <f t="shared" ref="E238" si="147">E237/$T$3</f>
        <v>13.1</v>
      </c>
      <c r="F238" s="101">
        <f t="shared" ref="F238" si="148">F237/$T$3</f>
        <v>28</v>
      </c>
      <c r="G238" s="101">
        <f t="shared" ref="G238" si="149">G237/$T$3</f>
        <v>1.9</v>
      </c>
      <c r="H238" s="101">
        <f t="shared" ref="H238" si="150">H237/$T$3</f>
        <v>2</v>
      </c>
      <c r="I238" s="101">
        <f t="shared" ref="I238" si="151">I237/$T$3</f>
        <v>0</v>
      </c>
      <c r="J238" s="101">
        <f t="shared" ref="J238" si="152">J237/$T$3</f>
        <v>0</v>
      </c>
      <c r="K238" s="101">
        <f t="shared" ref="K238" si="153">K237/$T$3</f>
        <v>0</v>
      </c>
      <c r="L238" s="101">
        <f t="shared" ref="L238" si="154">L237/$T$3</f>
        <v>0.4</v>
      </c>
      <c r="M238" s="101">
        <f t="shared" ref="M238" si="155">M237/$T$3</f>
        <v>8</v>
      </c>
      <c r="N238" s="108">
        <f t="shared" ref="N238" si="156">N237/$T$3</f>
        <v>19.600000000000001</v>
      </c>
      <c r="P238" s="234"/>
      <c r="Q238" s="234"/>
      <c r="R238" s="234"/>
      <c r="S238" s="234"/>
      <c r="T238" s="234"/>
      <c r="U238" s="234"/>
      <c r="V238" s="234"/>
      <c r="W238" s="234"/>
      <c r="X238" s="234"/>
      <c r="Y238" s="234"/>
      <c r="Z238" s="234"/>
      <c r="AA238" s="234"/>
    </row>
    <row r="239" spans="2:27" x14ac:dyDescent="0.25">
      <c r="B239" s="107" t="s">
        <v>18</v>
      </c>
      <c r="C239" s="109">
        <f>$T$4*((C238)^$T$5)</f>
        <v>197.426744027908</v>
      </c>
      <c r="D239" s="110">
        <f t="shared" ref="D239" si="157">$T$4*((D238)^$T$5)</f>
        <v>110.90815401139338</v>
      </c>
      <c r="E239" s="110">
        <f t="shared" ref="E239" si="158">$T$4*((E238)^$T$5)</f>
        <v>73.093917006755035</v>
      </c>
      <c r="F239" s="110">
        <f t="shared" ref="F239" si="159">$T$4*((F238)^$T$5)</f>
        <v>205.36536259566182</v>
      </c>
      <c r="G239" s="110">
        <f t="shared" ref="G239" si="160">$T$4*((G238)^$T$5)</f>
        <v>5.2905055093287361</v>
      </c>
      <c r="H239" s="110">
        <f t="shared" ref="H239" si="161">$T$4*((H238)^$T$5)</f>
        <v>5.6727424672280371</v>
      </c>
      <c r="I239" s="110">
        <f t="shared" ref="I239" si="162">$T$4*((I238)^$T$5)</f>
        <v>0</v>
      </c>
      <c r="J239" s="110">
        <f t="shared" ref="J239" si="163">$T$4*((J238)^$T$5)</f>
        <v>0</v>
      </c>
      <c r="K239" s="110">
        <f t="shared" ref="K239" si="164">$T$4*((K238)^$T$5)</f>
        <v>0</v>
      </c>
      <c r="L239" s="110">
        <f t="shared" ref="L239" si="165">$T$4*((L238)^$T$5)</f>
        <v>0.63561459640404472</v>
      </c>
      <c r="M239" s="110">
        <f t="shared" ref="M239" si="166">$T$4*((M238)^$T$5)</f>
        <v>37.376157914250406</v>
      </c>
      <c r="N239" s="111">
        <f t="shared" ref="N239" si="167">$T$4*((N238)^$T$5)</f>
        <v>126.43302554244404</v>
      </c>
      <c r="P239" s="234"/>
      <c r="Q239" s="234"/>
      <c r="R239" s="234"/>
      <c r="S239" s="234"/>
      <c r="T239" s="234"/>
      <c r="U239" s="234"/>
      <c r="V239" s="234"/>
      <c r="W239" s="234"/>
      <c r="X239" s="234"/>
      <c r="Y239" s="234"/>
      <c r="Z239" s="234"/>
      <c r="AA239" s="234"/>
    </row>
    <row r="240" spans="2:27" ht="15.75" thickBot="1" x14ac:dyDescent="0.3">
      <c r="B240" s="112" t="s">
        <v>19</v>
      </c>
      <c r="C240" s="341">
        <f>SUM(C239:N239)</f>
        <v>762.20222367137342</v>
      </c>
      <c r="D240" s="341"/>
      <c r="E240" s="341"/>
      <c r="F240" s="341"/>
      <c r="G240" s="341"/>
      <c r="H240" s="341"/>
      <c r="I240" s="341"/>
      <c r="J240" s="341"/>
      <c r="K240" s="341"/>
      <c r="L240" s="341"/>
      <c r="M240" s="341"/>
      <c r="N240" s="342"/>
      <c r="P240" s="236"/>
      <c r="Q240" s="236"/>
      <c r="R240" s="236"/>
      <c r="S240" s="236"/>
      <c r="T240" s="236"/>
      <c r="U240" s="236"/>
      <c r="V240" s="236"/>
      <c r="W240" s="236"/>
      <c r="X240" s="236"/>
      <c r="Y240" s="236"/>
      <c r="Z240" s="236"/>
      <c r="AA240" s="236"/>
    </row>
    <row r="241" spans="2:27" x14ac:dyDescent="0.25"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</row>
    <row r="242" spans="2:27" x14ac:dyDescent="0.25">
      <c r="P242" s="21"/>
      <c r="Q242" s="21"/>
      <c r="R242" s="21"/>
    </row>
    <row r="243" spans="2:27" ht="15.75" thickBot="1" x14ac:dyDescent="0.3">
      <c r="B243" s="235" t="s">
        <v>28</v>
      </c>
      <c r="P243" s="21"/>
      <c r="Q243" s="21"/>
      <c r="R243" s="21"/>
    </row>
    <row r="244" spans="2:27" ht="15.75" thickBot="1" x14ac:dyDescent="0.3">
      <c r="B244" s="347" t="s">
        <v>0</v>
      </c>
      <c r="C244" s="349" t="s">
        <v>7</v>
      </c>
      <c r="D244" s="350"/>
      <c r="E244" s="350"/>
      <c r="F244" s="350"/>
      <c r="G244" s="350"/>
      <c r="H244" s="350"/>
      <c r="I244" s="350"/>
      <c r="J244" s="350"/>
      <c r="K244" s="350"/>
      <c r="L244" s="350"/>
      <c r="M244" s="350"/>
      <c r="N244" s="351"/>
      <c r="O244" s="253"/>
      <c r="Q244" s="21"/>
      <c r="R244" s="21"/>
    </row>
    <row r="245" spans="2:27" ht="15.75" thickBot="1" x14ac:dyDescent="0.3">
      <c r="B245" s="348"/>
      <c r="C245" s="243" t="s">
        <v>1</v>
      </c>
      <c r="D245" s="243" t="s">
        <v>2</v>
      </c>
      <c r="E245" s="243" t="s">
        <v>3</v>
      </c>
      <c r="F245" s="243" t="s">
        <v>4</v>
      </c>
      <c r="G245" s="243" t="s">
        <v>5</v>
      </c>
      <c r="H245" s="243" t="s">
        <v>6</v>
      </c>
      <c r="I245" s="243" t="s">
        <v>8</v>
      </c>
      <c r="J245" s="243" t="s">
        <v>9</v>
      </c>
      <c r="K245" s="243" t="s">
        <v>10</v>
      </c>
      <c r="L245" s="243" t="s">
        <v>11</v>
      </c>
      <c r="M245" s="243" t="s">
        <v>12</v>
      </c>
      <c r="N245" s="52" t="s">
        <v>13</v>
      </c>
      <c r="Q245" s="21"/>
      <c r="R245" s="21"/>
    </row>
    <row r="246" spans="2:27" x14ac:dyDescent="0.25">
      <c r="B246" s="244">
        <v>1</v>
      </c>
      <c r="C246" s="246">
        <v>0</v>
      </c>
      <c r="D246" s="246">
        <v>0</v>
      </c>
      <c r="E246" s="246">
        <v>8</v>
      </c>
      <c r="F246" s="247">
        <v>0</v>
      </c>
      <c r="G246" s="246">
        <v>0</v>
      </c>
      <c r="H246" s="246">
        <v>3</v>
      </c>
      <c r="I246" s="246">
        <v>0</v>
      </c>
      <c r="J246" s="247">
        <v>0</v>
      </c>
      <c r="K246" s="246">
        <v>0</v>
      </c>
      <c r="L246" s="246">
        <v>0</v>
      </c>
      <c r="M246" s="246">
        <v>15</v>
      </c>
      <c r="N246" s="248">
        <v>0</v>
      </c>
      <c r="P246" s="21"/>
      <c r="Q246" s="21"/>
      <c r="R246" s="21"/>
    </row>
    <row r="247" spans="2:27" x14ac:dyDescent="0.25">
      <c r="B247" s="244">
        <v>2</v>
      </c>
      <c r="C247" s="246">
        <v>0</v>
      </c>
      <c r="D247" s="246">
        <v>9</v>
      </c>
      <c r="E247" s="246">
        <v>0</v>
      </c>
      <c r="F247" s="246">
        <v>0</v>
      </c>
      <c r="G247" s="246">
        <v>0</v>
      </c>
      <c r="H247" s="246">
        <v>9</v>
      </c>
      <c r="I247" s="246">
        <v>0</v>
      </c>
      <c r="J247" s="246">
        <v>0</v>
      </c>
      <c r="K247" s="246">
        <v>0</v>
      </c>
      <c r="L247" s="246">
        <v>34</v>
      </c>
      <c r="M247" s="246">
        <v>22</v>
      </c>
      <c r="N247" s="248">
        <v>7</v>
      </c>
      <c r="Q247" s="21"/>
      <c r="R247" s="21"/>
    </row>
    <row r="248" spans="2:27" x14ac:dyDescent="0.25">
      <c r="B248" s="244">
        <v>3</v>
      </c>
      <c r="C248" s="246">
        <v>36</v>
      </c>
      <c r="D248" s="246">
        <v>16</v>
      </c>
      <c r="E248" s="246">
        <v>0</v>
      </c>
      <c r="F248" s="246">
        <v>3</v>
      </c>
      <c r="G248" s="246">
        <v>0</v>
      </c>
      <c r="H248" s="246">
        <v>9</v>
      </c>
      <c r="I248" s="246">
        <v>36</v>
      </c>
      <c r="J248" s="246">
        <v>0</v>
      </c>
      <c r="K248" s="246">
        <v>0</v>
      </c>
      <c r="L248" s="246">
        <v>30</v>
      </c>
      <c r="M248" s="246">
        <v>22</v>
      </c>
      <c r="N248" s="248">
        <v>0</v>
      </c>
      <c r="Q248" s="21"/>
      <c r="R248" s="21"/>
    </row>
    <row r="249" spans="2:27" x14ac:dyDescent="0.25">
      <c r="B249" s="244">
        <v>4</v>
      </c>
      <c r="C249" s="246">
        <v>0</v>
      </c>
      <c r="D249" s="246">
        <v>0</v>
      </c>
      <c r="E249" s="246">
        <v>25</v>
      </c>
      <c r="F249" s="246">
        <v>3</v>
      </c>
      <c r="G249" s="246">
        <v>38</v>
      </c>
      <c r="H249" s="246">
        <v>0</v>
      </c>
      <c r="I249" s="246">
        <v>5</v>
      </c>
      <c r="J249" s="246">
        <v>0</v>
      </c>
      <c r="K249" s="246">
        <v>21</v>
      </c>
      <c r="L249" s="246">
        <v>0</v>
      </c>
      <c r="M249" s="246">
        <v>7</v>
      </c>
      <c r="N249" s="248">
        <v>6</v>
      </c>
      <c r="Q249" s="21"/>
      <c r="R249" s="21"/>
    </row>
    <row r="250" spans="2:27" x14ac:dyDescent="0.25">
      <c r="B250" s="244">
        <v>5</v>
      </c>
      <c r="C250" s="246">
        <v>0</v>
      </c>
      <c r="D250" s="246">
        <v>0</v>
      </c>
      <c r="E250" s="246">
        <v>0</v>
      </c>
      <c r="F250" s="246">
        <v>0</v>
      </c>
      <c r="G250" s="246">
        <v>0</v>
      </c>
      <c r="H250" s="246">
        <v>0</v>
      </c>
      <c r="I250" s="246">
        <v>0</v>
      </c>
      <c r="J250" s="246">
        <v>0</v>
      </c>
      <c r="K250" s="246">
        <v>0</v>
      </c>
      <c r="L250" s="246">
        <v>60</v>
      </c>
      <c r="M250" s="246">
        <v>0</v>
      </c>
      <c r="N250" s="248">
        <v>0</v>
      </c>
      <c r="Q250" s="21"/>
      <c r="R250" s="21"/>
    </row>
    <row r="251" spans="2:27" x14ac:dyDescent="0.25">
      <c r="B251" s="244">
        <v>6</v>
      </c>
      <c r="C251" s="246">
        <v>11</v>
      </c>
      <c r="D251" s="246">
        <v>52</v>
      </c>
      <c r="E251" s="246">
        <v>10</v>
      </c>
      <c r="F251" s="246">
        <v>0</v>
      </c>
      <c r="G251" s="246">
        <v>0</v>
      </c>
      <c r="H251" s="246">
        <v>0</v>
      </c>
      <c r="I251" s="246">
        <v>0</v>
      </c>
      <c r="J251" s="246">
        <v>0</v>
      </c>
      <c r="K251" s="246">
        <v>0</v>
      </c>
      <c r="L251" s="246">
        <v>0</v>
      </c>
      <c r="M251" s="246">
        <v>0</v>
      </c>
      <c r="N251" s="248">
        <v>55</v>
      </c>
      <c r="Q251" s="21"/>
      <c r="R251" s="21"/>
    </row>
    <row r="252" spans="2:27" x14ac:dyDescent="0.25">
      <c r="B252" s="244">
        <v>7</v>
      </c>
      <c r="C252" s="246">
        <v>0</v>
      </c>
      <c r="D252" s="246">
        <v>8</v>
      </c>
      <c r="E252" s="246">
        <v>8</v>
      </c>
      <c r="F252" s="246">
        <v>6</v>
      </c>
      <c r="G252" s="246">
        <v>0</v>
      </c>
      <c r="H252" s="246">
        <v>0</v>
      </c>
      <c r="I252" s="246">
        <v>0</v>
      </c>
      <c r="J252" s="246">
        <v>15</v>
      </c>
      <c r="K252" s="246">
        <v>0</v>
      </c>
      <c r="L252" s="246">
        <v>0</v>
      </c>
      <c r="M252" s="246">
        <v>0</v>
      </c>
      <c r="N252" s="248">
        <v>0</v>
      </c>
      <c r="Q252" s="21"/>
      <c r="R252" s="21"/>
    </row>
    <row r="253" spans="2:27" x14ac:dyDescent="0.25">
      <c r="B253" s="244">
        <v>8</v>
      </c>
      <c r="C253" s="246">
        <v>0</v>
      </c>
      <c r="D253" s="246">
        <v>3</v>
      </c>
      <c r="E253" s="246">
        <v>15</v>
      </c>
      <c r="F253" s="246">
        <v>0</v>
      </c>
      <c r="G253" s="246">
        <v>22</v>
      </c>
      <c r="H253" s="246">
        <v>5</v>
      </c>
      <c r="I253" s="246">
        <v>0</v>
      </c>
      <c r="J253" s="246">
        <v>0</v>
      </c>
      <c r="K253" s="246">
        <v>0</v>
      </c>
      <c r="L253" s="246">
        <v>7</v>
      </c>
      <c r="M253" s="246">
        <v>0</v>
      </c>
      <c r="N253" s="248">
        <v>0</v>
      </c>
    </row>
    <row r="254" spans="2:27" x14ac:dyDescent="0.25">
      <c r="B254" s="244">
        <v>9</v>
      </c>
      <c r="C254" s="246">
        <v>13</v>
      </c>
      <c r="D254" s="246">
        <v>0</v>
      </c>
      <c r="E254" s="246">
        <v>36</v>
      </c>
      <c r="F254" s="246">
        <v>3</v>
      </c>
      <c r="G254" s="246">
        <v>0</v>
      </c>
      <c r="H254" s="246">
        <v>0</v>
      </c>
      <c r="I254" s="246">
        <v>0</v>
      </c>
      <c r="J254" s="246">
        <v>0</v>
      </c>
      <c r="K254" s="246">
        <v>0</v>
      </c>
      <c r="L254" s="246">
        <v>5</v>
      </c>
      <c r="M254" s="246">
        <v>19</v>
      </c>
      <c r="N254" s="248">
        <v>10</v>
      </c>
    </row>
    <row r="255" spans="2:27" x14ac:dyDescent="0.25">
      <c r="B255" s="244">
        <v>10</v>
      </c>
      <c r="C255" s="246">
        <v>0</v>
      </c>
      <c r="D255" s="246">
        <v>5</v>
      </c>
      <c r="E255" s="246">
        <v>0</v>
      </c>
      <c r="F255" s="246">
        <v>0</v>
      </c>
      <c r="G255" s="246">
        <v>0</v>
      </c>
      <c r="H255" s="246">
        <v>0</v>
      </c>
      <c r="I255" s="246">
        <v>0</v>
      </c>
      <c r="J255" s="246">
        <v>0</v>
      </c>
      <c r="K255" s="246">
        <v>0</v>
      </c>
      <c r="L255" s="246">
        <v>15</v>
      </c>
      <c r="M255" s="246">
        <v>40</v>
      </c>
      <c r="N255" s="248">
        <v>0</v>
      </c>
    </row>
    <row r="256" spans="2:27" x14ac:dyDescent="0.25">
      <c r="B256" s="244">
        <v>11</v>
      </c>
      <c r="C256" s="246">
        <v>0</v>
      </c>
      <c r="D256" s="246">
        <v>35</v>
      </c>
      <c r="E256" s="246">
        <v>6</v>
      </c>
      <c r="F256" s="246">
        <v>0</v>
      </c>
      <c r="G256" s="246">
        <v>3</v>
      </c>
      <c r="H256" s="246">
        <v>0</v>
      </c>
      <c r="I256" s="246">
        <v>0</v>
      </c>
      <c r="J256" s="246">
        <v>0</v>
      </c>
      <c r="K256" s="246">
        <v>0</v>
      </c>
      <c r="L256" s="246">
        <v>0</v>
      </c>
      <c r="M256" s="246">
        <v>52</v>
      </c>
      <c r="N256" s="248">
        <v>0</v>
      </c>
    </row>
    <row r="257" spans="2:14" x14ac:dyDescent="0.25">
      <c r="B257" s="244">
        <v>12</v>
      </c>
      <c r="C257" s="246">
        <v>8</v>
      </c>
      <c r="D257" s="246">
        <v>45</v>
      </c>
      <c r="E257" s="246">
        <v>6</v>
      </c>
      <c r="F257" s="246">
        <v>40</v>
      </c>
      <c r="G257" s="246">
        <v>3</v>
      </c>
      <c r="H257" s="246">
        <v>19</v>
      </c>
      <c r="I257" s="246">
        <v>16</v>
      </c>
      <c r="J257" s="246">
        <v>0</v>
      </c>
      <c r="K257" s="246">
        <v>0</v>
      </c>
      <c r="L257" s="246">
        <v>0</v>
      </c>
      <c r="M257" s="246">
        <v>0</v>
      </c>
      <c r="N257" s="248">
        <v>0</v>
      </c>
    </row>
    <row r="258" spans="2:14" x14ac:dyDescent="0.25">
      <c r="B258" s="244">
        <v>13</v>
      </c>
      <c r="C258" s="246">
        <v>0</v>
      </c>
      <c r="D258" s="246">
        <v>5</v>
      </c>
      <c r="E258" s="246">
        <v>0</v>
      </c>
      <c r="F258" s="246">
        <v>9</v>
      </c>
      <c r="G258" s="246">
        <v>3</v>
      </c>
      <c r="H258" s="246">
        <v>0</v>
      </c>
      <c r="I258" s="246">
        <v>0</v>
      </c>
      <c r="J258" s="246">
        <v>6</v>
      </c>
      <c r="K258" s="246">
        <v>0</v>
      </c>
      <c r="L258" s="246">
        <v>0</v>
      </c>
      <c r="M258" s="246">
        <v>25</v>
      </c>
      <c r="N258" s="248">
        <v>15</v>
      </c>
    </row>
    <row r="259" spans="2:14" x14ac:dyDescent="0.25">
      <c r="B259" s="244">
        <v>14</v>
      </c>
      <c r="C259" s="246">
        <v>0</v>
      </c>
      <c r="D259" s="246">
        <v>0</v>
      </c>
      <c r="E259" s="246">
        <v>0</v>
      </c>
      <c r="F259" s="246">
        <v>15</v>
      </c>
      <c r="G259" s="246">
        <v>34</v>
      </c>
      <c r="H259" s="246">
        <v>0</v>
      </c>
      <c r="I259" s="246">
        <v>0</v>
      </c>
      <c r="J259" s="246">
        <v>6</v>
      </c>
      <c r="K259" s="246">
        <v>0</v>
      </c>
      <c r="L259" s="246">
        <v>0</v>
      </c>
      <c r="M259" s="246">
        <v>28</v>
      </c>
      <c r="N259" s="248">
        <v>38</v>
      </c>
    </row>
    <row r="260" spans="2:14" x14ac:dyDescent="0.25">
      <c r="B260" s="244">
        <v>15</v>
      </c>
      <c r="C260" s="246">
        <v>0</v>
      </c>
      <c r="D260" s="246">
        <v>0</v>
      </c>
      <c r="E260" s="246">
        <v>0</v>
      </c>
      <c r="F260" s="246">
        <v>0</v>
      </c>
      <c r="G260" s="246">
        <v>0</v>
      </c>
      <c r="H260" s="246">
        <v>7</v>
      </c>
      <c r="I260" s="246">
        <v>0</v>
      </c>
      <c r="J260" s="246">
        <v>0</v>
      </c>
      <c r="K260" s="246">
        <v>0</v>
      </c>
      <c r="L260" s="246">
        <v>0</v>
      </c>
      <c r="M260" s="246">
        <v>0</v>
      </c>
      <c r="N260" s="248">
        <v>0</v>
      </c>
    </row>
    <row r="261" spans="2:14" x14ac:dyDescent="0.25">
      <c r="B261" s="244">
        <v>16</v>
      </c>
      <c r="C261" s="246">
        <v>0</v>
      </c>
      <c r="D261" s="246">
        <v>16</v>
      </c>
      <c r="E261" s="246">
        <v>0</v>
      </c>
      <c r="F261" s="246">
        <v>0</v>
      </c>
      <c r="G261" s="246">
        <v>6</v>
      </c>
      <c r="H261" s="246">
        <v>0</v>
      </c>
      <c r="I261" s="246">
        <v>15</v>
      </c>
      <c r="J261" s="246">
        <v>0</v>
      </c>
      <c r="K261" s="246">
        <v>0</v>
      </c>
      <c r="L261" s="246">
        <v>0</v>
      </c>
      <c r="M261" s="246">
        <v>0</v>
      </c>
      <c r="N261" s="248">
        <v>37</v>
      </c>
    </row>
    <row r="262" spans="2:14" x14ac:dyDescent="0.25">
      <c r="B262" s="244">
        <v>17</v>
      </c>
      <c r="C262" s="246">
        <v>16</v>
      </c>
      <c r="D262" s="246">
        <v>22</v>
      </c>
      <c r="E262" s="246">
        <v>0</v>
      </c>
      <c r="F262" s="246">
        <v>0</v>
      </c>
      <c r="G262" s="246">
        <v>34</v>
      </c>
      <c r="H262" s="246">
        <v>0</v>
      </c>
      <c r="I262" s="246">
        <v>0</v>
      </c>
      <c r="J262" s="246">
        <v>0</v>
      </c>
      <c r="K262" s="246">
        <v>9</v>
      </c>
      <c r="L262" s="246">
        <v>15</v>
      </c>
      <c r="M262" s="246">
        <v>0</v>
      </c>
      <c r="N262" s="248">
        <v>8</v>
      </c>
    </row>
    <row r="263" spans="2:14" x14ac:dyDescent="0.25">
      <c r="B263" s="244">
        <v>18</v>
      </c>
      <c r="C263" s="246">
        <v>22</v>
      </c>
      <c r="D263" s="246">
        <v>5</v>
      </c>
      <c r="E263" s="246">
        <v>0</v>
      </c>
      <c r="F263" s="246">
        <v>0</v>
      </c>
      <c r="G263" s="246">
        <v>17</v>
      </c>
      <c r="H263" s="246">
        <v>0</v>
      </c>
      <c r="I263" s="246">
        <v>13</v>
      </c>
      <c r="J263" s="246">
        <v>0</v>
      </c>
      <c r="K263" s="246">
        <v>15</v>
      </c>
      <c r="L263" s="246">
        <v>0</v>
      </c>
      <c r="M263" s="246">
        <v>0</v>
      </c>
      <c r="N263" s="248">
        <v>15</v>
      </c>
    </row>
    <row r="264" spans="2:14" x14ac:dyDescent="0.25">
      <c r="B264" s="244">
        <v>19</v>
      </c>
      <c r="C264" s="246">
        <v>8</v>
      </c>
      <c r="D264" s="246">
        <v>9</v>
      </c>
      <c r="E264" s="246">
        <v>9</v>
      </c>
      <c r="F264" s="246">
        <v>0</v>
      </c>
      <c r="G264" s="246">
        <v>0</v>
      </c>
      <c r="H264" s="246">
        <v>60</v>
      </c>
      <c r="I264" s="246">
        <v>5</v>
      </c>
      <c r="J264" s="246">
        <v>0</v>
      </c>
      <c r="K264" s="246">
        <v>0</v>
      </c>
      <c r="L264" s="246">
        <v>0</v>
      </c>
      <c r="M264" s="246">
        <v>0</v>
      </c>
      <c r="N264" s="248">
        <v>0</v>
      </c>
    </row>
    <row r="265" spans="2:14" x14ac:dyDescent="0.25">
      <c r="B265" s="244">
        <v>20</v>
      </c>
      <c r="C265" s="246">
        <v>0</v>
      </c>
      <c r="D265" s="246">
        <v>0</v>
      </c>
      <c r="E265" s="246">
        <v>0</v>
      </c>
      <c r="F265" s="246">
        <v>0</v>
      </c>
      <c r="G265" s="246">
        <v>4</v>
      </c>
      <c r="H265" s="246">
        <v>0</v>
      </c>
      <c r="I265" s="246">
        <v>0</v>
      </c>
      <c r="J265" s="246">
        <v>0</v>
      </c>
      <c r="K265" s="246">
        <v>0</v>
      </c>
      <c r="L265" s="246">
        <v>25</v>
      </c>
      <c r="M265" s="246">
        <v>0</v>
      </c>
      <c r="N265" s="248">
        <v>0</v>
      </c>
    </row>
    <row r="266" spans="2:14" x14ac:dyDescent="0.25">
      <c r="B266" s="244">
        <v>21</v>
      </c>
      <c r="C266" s="246">
        <v>0</v>
      </c>
      <c r="D266" s="246">
        <v>0</v>
      </c>
      <c r="E266" s="246">
        <v>0</v>
      </c>
      <c r="F266" s="246">
        <v>0</v>
      </c>
      <c r="G266" s="246">
        <v>28</v>
      </c>
      <c r="H266" s="246">
        <v>0</v>
      </c>
      <c r="I266" s="246">
        <v>0</v>
      </c>
      <c r="J266" s="246">
        <v>0</v>
      </c>
      <c r="K266" s="246">
        <v>15</v>
      </c>
      <c r="L266" s="246">
        <v>0</v>
      </c>
      <c r="M266" s="246">
        <v>23</v>
      </c>
      <c r="N266" s="248">
        <v>10</v>
      </c>
    </row>
    <row r="267" spans="2:14" x14ac:dyDescent="0.25">
      <c r="B267" s="244">
        <v>22</v>
      </c>
      <c r="C267" s="246">
        <v>0</v>
      </c>
      <c r="D267" s="246">
        <v>0</v>
      </c>
      <c r="E267" s="246">
        <v>0</v>
      </c>
      <c r="F267" s="246">
        <v>0</v>
      </c>
      <c r="G267" s="246">
        <v>0</v>
      </c>
      <c r="H267" s="246">
        <v>0</v>
      </c>
      <c r="I267" s="246">
        <v>30</v>
      </c>
      <c r="J267" s="246">
        <v>0</v>
      </c>
      <c r="K267" s="246">
        <v>0</v>
      </c>
      <c r="L267" s="246">
        <v>0</v>
      </c>
      <c r="M267" s="246">
        <v>25</v>
      </c>
      <c r="N267" s="248">
        <v>0</v>
      </c>
    </row>
    <row r="268" spans="2:14" x14ac:dyDescent="0.25">
      <c r="B268" s="244">
        <v>23</v>
      </c>
      <c r="C268" s="246">
        <v>0</v>
      </c>
      <c r="D268" s="246">
        <v>6</v>
      </c>
      <c r="E268" s="246">
        <v>0</v>
      </c>
      <c r="F268" s="246">
        <v>0</v>
      </c>
      <c r="G268" s="246">
        <v>25</v>
      </c>
      <c r="H268" s="246">
        <v>10</v>
      </c>
      <c r="I268" s="246">
        <v>0</v>
      </c>
      <c r="J268" s="246">
        <v>0</v>
      </c>
      <c r="K268" s="246">
        <v>0</v>
      </c>
      <c r="L268" s="246">
        <v>0</v>
      </c>
      <c r="M268" s="246">
        <v>5</v>
      </c>
      <c r="N268" s="248">
        <v>0</v>
      </c>
    </row>
    <row r="269" spans="2:14" x14ac:dyDescent="0.25">
      <c r="B269" s="244">
        <v>24</v>
      </c>
      <c r="C269" s="246">
        <v>0</v>
      </c>
      <c r="D269" s="246">
        <v>16</v>
      </c>
      <c r="E269" s="246">
        <v>0</v>
      </c>
      <c r="F269" s="246">
        <v>3</v>
      </c>
      <c r="G269" s="246">
        <v>0</v>
      </c>
      <c r="H269" s="246">
        <v>0</v>
      </c>
      <c r="I269" s="246">
        <v>3</v>
      </c>
      <c r="J269" s="246">
        <v>0</v>
      </c>
      <c r="K269" s="246">
        <v>30</v>
      </c>
      <c r="L269" s="246">
        <v>2</v>
      </c>
      <c r="M269" s="246">
        <v>35</v>
      </c>
      <c r="N269" s="248">
        <v>0</v>
      </c>
    </row>
    <row r="270" spans="2:14" x14ac:dyDescent="0.25">
      <c r="B270" s="244">
        <v>25</v>
      </c>
      <c r="C270" s="246">
        <v>0</v>
      </c>
      <c r="D270" s="246">
        <v>17</v>
      </c>
      <c r="E270" s="246">
        <v>20</v>
      </c>
      <c r="F270" s="246">
        <v>0</v>
      </c>
      <c r="G270" s="246">
        <v>0</v>
      </c>
      <c r="H270" s="246">
        <v>0</v>
      </c>
      <c r="I270" s="246">
        <v>0</v>
      </c>
      <c r="J270" s="246">
        <v>0</v>
      </c>
      <c r="K270" s="246">
        <v>20</v>
      </c>
      <c r="L270" s="246">
        <v>0</v>
      </c>
      <c r="M270" s="246">
        <v>0</v>
      </c>
      <c r="N270" s="248">
        <v>0</v>
      </c>
    </row>
    <row r="271" spans="2:14" x14ac:dyDescent="0.25">
      <c r="B271" s="244">
        <v>26</v>
      </c>
      <c r="C271" s="246">
        <v>0</v>
      </c>
      <c r="D271" s="246">
        <v>3</v>
      </c>
      <c r="E271" s="246">
        <v>43</v>
      </c>
      <c r="F271" s="246">
        <v>0</v>
      </c>
      <c r="G271" s="246">
        <v>0</v>
      </c>
      <c r="H271" s="246">
        <v>0</v>
      </c>
      <c r="I271" s="246">
        <v>0</v>
      </c>
      <c r="J271" s="246">
        <v>0</v>
      </c>
      <c r="K271" s="246">
        <v>0</v>
      </c>
      <c r="L271" s="246">
        <v>0</v>
      </c>
      <c r="M271" s="246">
        <v>9</v>
      </c>
      <c r="N271" s="248">
        <v>0</v>
      </c>
    </row>
    <row r="272" spans="2:14" x14ac:dyDescent="0.25">
      <c r="B272" s="244">
        <v>27</v>
      </c>
      <c r="C272" s="246">
        <v>0</v>
      </c>
      <c r="D272" s="246">
        <v>14</v>
      </c>
      <c r="E272" s="246">
        <v>0</v>
      </c>
      <c r="F272" s="246">
        <v>0</v>
      </c>
      <c r="G272" s="246">
        <v>0</v>
      </c>
      <c r="H272" s="246">
        <v>0</v>
      </c>
      <c r="I272" s="246">
        <v>0</v>
      </c>
      <c r="J272" s="246">
        <v>10</v>
      </c>
      <c r="K272" s="246">
        <v>0</v>
      </c>
      <c r="L272" s="246">
        <v>30</v>
      </c>
      <c r="M272" s="246">
        <v>0</v>
      </c>
      <c r="N272" s="248">
        <v>0</v>
      </c>
    </row>
    <row r="273" spans="2:27" x14ac:dyDescent="0.25">
      <c r="B273" s="244">
        <v>28</v>
      </c>
      <c r="C273" s="246">
        <v>0</v>
      </c>
      <c r="D273" s="246">
        <v>14</v>
      </c>
      <c r="E273" s="246">
        <v>0</v>
      </c>
      <c r="F273" s="246">
        <v>0</v>
      </c>
      <c r="G273" s="246">
        <v>12</v>
      </c>
      <c r="H273" s="246">
        <v>33</v>
      </c>
      <c r="I273" s="246">
        <v>0</v>
      </c>
      <c r="J273" s="246">
        <v>0</v>
      </c>
      <c r="K273" s="246">
        <v>15</v>
      </c>
      <c r="L273" s="246">
        <v>0</v>
      </c>
      <c r="M273" s="246">
        <v>24</v>
      </c>
      <c r="N273" s="248">
        <v>0</v>
      </c>
    </row>
    <row r="274" spans="2:27" x14ac:dyDescent="0.25">
      <c r="B274" s="244">
        <v>29</v>
      </c>
      <c r="C274" s="246">
        <v>0</v>
      </c>
      <c r="D274" s="246">
        <v>10</v>
      </c>
      <c r="E274" s="246">
        <v>11</v>
      </c>
      <c r="F274" s="246">
        <v>0</v>
      </c>
      <c r="G274" s="246">
        <v>0</v>
      </c>
      <c r="H274" s="246">
        <v>0</v>
      </c>
      <c r="I274" s="246">
        <v>0</v>
      </c>
      <c r="J274" s="246">
        <v>0</v>
      </c>
      <c r="K274" s="246">
        <v>0</v>
      </c>
      <c r="L274" s="246">
        <v>6</v>
      </c>
      <c r="M274" s="246">
        <v>23</v>
      </c>
      <c r="N274" s="248">
        <v>0</v>
      </c>
    </row>
    <row r="275" spans="2:27" x14ac:dyDescent="0.25">
      <c r="B275" s="244">
        <v>30</v>
      </c>
      <c r="C275" s="246">
        <v>0</v>
      </c>
      <c r="D275" s="246"/>
      <c r="E275" s="246">
        <v>10</v>
      </c>
      <c r="F275" s="246">
        <v>0</v>
      </c>
      <c r="G275" s="246">
        <v>0</v>
      </c>
      <c r="H275" s="246">
        <v>10</v>
      </c>
      <c r="I275" s="246">
        <v>0</v>
      </c>
      <c r="J275" s="246">
        <v>0</v>
      </c>
      <c r="K275" s="246">
        <v>0</v>
      </c>
      <c r="L275" s="246">
        <v>0</v>
      </c>
      <c r="M275" s="246">
        <v>0</v>
      </c>
      <c r="N275" s="248">
        <v>46</v>
      </c>
    </row>
    <row r="276" spans="2:27" ht="15.75" thickBot="1" x14ac:dyDescent="0.3">
      <c r="B276" s="51">
        <v>31</v>
      </c>
      <c r="C276" s="243">
        <v>0</v>
      </c>
      <c r="D276" s="243"/>
      <c r="E276" s="243">
        <v>0</v>
      </c>
      <c r="F276" s="243"/>
      <c r="G276" s="243">
        <v>0</v>
      </c>
      <c r="H276" s="243"/>
      <c r="I276" s="243">
        <v>0</v>
      </c>
      <c r="J276" s="243">
        <v>0</v>
      </c>
      <c r="K276" s="243"/>
      <c r="L276" s="243">
        <v>0</v>
      </c>
      <c r="M276" s="243"/>
      <c r="N276" s="52">
        <v>0</v>
      </c>
    </row>
    <row r="277" spans="2:27" x14ac:dyDescent="0.25">
      <c r="B277" s="5" t="s">
        <v>22</v>
      </c>
      <c r="C277" s="6">
        <f>SUM(C246:C276)</f>
        <v>114</v>
      </c>
      <c r="D277" s="105">
        <f t="shared" ref="D277" si="168">SUM(D246:D276)</f>
        <v>310</v>
      </c>
      <c r="E277" s="105">
        <f t="shared" ref="E277" si="169">SUM(E246:E276)</f>
        <v>207</v>
      </c>
      <c r="F277" s="105">
        <f t="shared" ref="F277" si="170">SUM(F246:F276)</f>
        <v>82</v>
      </c>
      <c r="G277" s="105">
        <f t="shared" ref="G277" si="171">SUM(G246:G276)</f>
        <v>229</v>
      </c>
      <c r="H277" s="105">
        <f t="shared" ref="H277" si="172">SUM(H246:H276)</f>
        <v>165</v>
      </c>
      <c r="I277" s="105">
        <f t="shared" ref="I277" si="173">SUM(I246:I276)</f>
        <v>123</v>
      </c>
      <c r="J277" s="105">
        <f t="shared" ref="J277" si="174">SUM(J246:J276)</f>
        <v>37</v>
      </c>
      <c r="K277" s="105">
        <f t="shared" ref="K277" si="175">SUM(K246:K276)</f>
        <v>125</v>
      </c>
      <c r="L277" s="105">
        <f t="shared" ref="L277" si="176">SUM(L246:L276)</f>
        <v>229</v>
      </c>
      <c r="M277" s="105">
        <f t="shared" ref="M277" si="177">SUM(M246:M276)</f>
        <v>374</v>
      </c>
      <c r="N277" s="106">
        <f t="shared" ref="N277" si="178">SUM(N246:N276)</f>
        <v>247</v>
      </c>
    </row>
    <row r="278" spans="2:27" x14ac:dyDescent="0.25">
      <c r="B278" s="107" t="s">
        <v>23</v>
      </c>
      <c r="C278" s="102">
        <f>C277/$T$3</f>
        <v>11.4</v>
      </c>
      <c r="D278" s="101">
        <f t="shared" ref="D278" si="179">D277/$T$3</f>
        <v>31</v>
      </c>
      <c r="E278" s="101">
        <f t="shared" ref="E278" si="180">E277/$T$3</f>
        <v>20.7</v>
      </c>
      <c r="F278" s="101">
        <f t="shared" ref="F278" si="181">F277/$T$3</f>
        <v>8.1999999999999993</v>
      </c>
      <c r="G278" s="101">
        <f t="shared" ref="G278" si="182">G277/$T$3</f>
        <v>22.9</v>
      </c>
      <c r="H278" s="101">
        <f t="shared" ref="H278" si="183">H277/$T$3</f>
        <v>16.5</v>
      </c>
      <c r="I278" s="101">
        <f t="shared" ref="I278" si="184">I277/$T$3</f>
        <v>12.3</v>
      </c>
      <c r="J278" s="101">
        <f t="shared" ref="J278" si="185">J277/$T$3</f>
        <v>3.7</v>
      </c>
      <c r="K278" s="101">
        <f t="shared" ref="K278" si="186">K277/$T$3</f>
        <v>12.5</v>
      </c>
      <c r="L278" s="101">
        <f t="shared" ref="L278" si="187">L277/$T$3</f>
        <v>22.9</v>
      </c>
      <c r="M278" s="101">
        <f t="shared" ref="M278" si="188">M277/$T$3</f>
        <v>37.4</v>
      </c>
      <c r="N278" s="108">
        <f t="shared" ref="N278" si="189">N277/$T$3</f>
        <v>24.7</v>
      </c>
      <c r="P278" s="234"/>
      <c r="Q278" s="234"/>
      <c r="R278" s="234"/>
      <c r="S278" s="234"/>
      <c r="T278" s="234"/>
      <c r="U278" s="234"/>
      <c r="V278" s="234"/>
      <c r="W278" s="234"/>
      <c r="X278" s="234"/>
      <c r="Y278" s="234"/>
      <c r="Z278" s="234"/>
      <c r="AA278" s="234"/>
    </row>
    <row r="279" spans="2:27" x14ac:dyDescent="0.25">
      <c r="B279" s="107" t="s">
        <v>18</v>
      </c>
      <c r="C279" s="109">
        <f>$T$4*((C278)^$T$5)</f>
        <v>60.503830608431386</v>
      </c>
      <c r="D279" s="110">
        <f t="shared" ref="D279" si="190">$T$4*((D278)^$T$5)</f>
        <v>235.85450569766195</v>
      </c>
      <c r="E279" s="110">
        <f t="shared" ref="E279" si="191">$T$4*((E278)^$T$5)</f>
        <v>136.17956529286806</v>
      </c>
      <c r="F279" s="110">
        <f t="shared" ref="F279" si="192">$T$4*((F278)^$T$5)</f>
        <v>38.652635645100204</v>
      </c>
      <c r="G279" s="110">
        <f t="shared" ref="G279" si="193">$T$4*((G278)^$T$5)</f>
        <v>156.23147379761244</v>
      </c>
      <c r="H279" s="110">
        <f t="shared" ref="H279" si="194">$T$4*((H278)^$T$5)</f>
        <v>100.03925245920817</v>
      </c>
      <c r="I279" s="110">
        <f t="shared" ref="I279" si="195">$T$4*((I278)^$T$5)</f>
        <v>67.090839354114749</v>
      </c>
      <c r="J279" s="110">
        <f t="shared" ref="J279" si="196">$T$4*((J278)^$T$5)</f>
        <v>13.096239792379007</v>
      </c>
      <c r="K279" s="110">
        <f t="shared" ref="K279" si="197">$T$4*((K278)^$T$5)</f>
        <v>68.578801558108765</v>
      </c>
      <c r="L279" s="110">
        <f t="shared" ref="L279" si="198">$T$4*((L278)^$T$5)</f>
        <v>156.23147379761244</v>
      </c>
      <c r="M279" s="110">
        <f t="shared" ref="M279" si="199">$T$4*((M278)^$T$5)</f>
        <v>304.43715354263861</v>
      </c>
      <c r="N279" s="111">
        <f t="shared" ref="N279" si="200">$T$4*((N278)^$T$5)</f>
        <v>173.16500514058137</v>
      </c>
      <c r="P279" s="234"/>
      <c r="Q279" s="234"/>
      <c r="R279" s="234"/>
      <c r="S279" s="234"/>
      <c r="T279" s="234"/>
      <c r="U279" s="234"/>
      <c r="V279" s="234"/>
      <c r="W279" s="234"/>
      <c r="X279" s="234"/>
      <c r="Y279" s="234"/>
      <c r="Z279" s="234"/>
      <c r="AA279" s="234"/>
    </row>
    <row r="280" spans="2:27" ht="15.75" thickBot="1" x14ac:dyDescent="0.3">
      <c r="B280" s="112" t="s">
        <v>19</v>
      </c>
      <c r="C280" s="341">
        <f>SUM(C279:N279)</f>
        <v>1510.0607766863172</v>
      </c>
      <c r="D280" s="341"/>
      <c r="E280" s="341"/>
      <c r="F280" s="341"/>
      <c r="G280" s="341"/>
      <c r="H280" s="341"/>
      <c r="I280" s="341"/>
      <c r="J280" s="341"/>
      <c r="K280" s="341"/>
      <c r="L280" s="341"/>
      <c r="M280" s="341"/>
      <c r="N280" s="342"/>
      <c r="P280" s="236"/>
      <c r="Q280" s="236"/>
      <c r="R280" s="236"/>
      <c r="S280" s="236"/>
      <c r="T280" s="236"/>
      <c r="U280" s="236"/>
      <c r="V280" s="236"/>
      <c r="W280" s="236"/>
      <c r="X280" s="236"/>
      <c r="Y280" s="236"/>
      <c r="Z280" s="236"/>
      <c r="AA280" s="236"/>
    </row>
    <row r="281" spans="2:27" x14ac:dyDescent="0.25"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</row>
    <row r="283" spans="2:27" ht="15.75" thickBot="1" x14ac:dyDescent="0.3">
      <c r="B283" s="235" t="s">
        <v>29</v>
      </c>
    </row>
    <row r="284" spans="2:27" ht="15.75" thickBot="1" x14ac:dyDescent="0.3">
      <c r="B284" s="347" t="s">
        <v>0</v>
      </c>
      <c r="C284" s="349" t="s">
        <v>7</v>
      </c>
      <c r="D284" s="350"/>
      <c r="E284" s="350"/>
      <c r="F284" s="350"/>
      <c r="G284" s="350"/>
      <c r="H284" s="350"/>
      <c r="I284" s="350"/>
      <c r="J284" s="350"/>
      <c r="K284" s="350"/>
      <c r="L284" s="350"/>
      <c r="M284" s="350"/>
      <c r="N284" s="351"/>
      <c r="O284" s="256"/>
      <c r="P284" s="240"/>
    </row>
    <row r="285" spans="2:27" ht="15.75" thickBot="1" x14ac:dyDescent="0.3">
      <c r="B285" s="348"/>
      <c r="C285" s="243" t="s">
        <v>1</v>
      </c>
      <c r="D285" s="243" t="s">
        <v>2</v>
      </c>
      <c r="E285" s="243" t="s">
        <v>3</v>
      </c>
      <c r="F285" s="243" t="s">
        <v>4</v>
      </c>
      <c r="G285" s="243" t="s">
        <v>5</v>
      </c>
      <c r="H285" s="243" t="s">
        <v>6</v>
      </c>
      <c r="I285" s="243" t="s">
        <v>8</v>
      </c>
      <c r="J285" s="243" t="s">
        <v>9</v>
      </c>
      <c r="K285" s="243" t="s">
        <v>10</v>
      </c>
      <c r="L285" s="243" t="s">
        <v>11</v>
      </c>
      <c r="M285" s="243" t="s">
        <v>12</v>
      </c>
      <c r="N285" s="52" t="s">
        <v>13</v>
      </c>
    </row>
    <row r="286" spans="2:27" x14ac:dyDescent="0.25">
      <c r="B286" s="244">
        <v>1</v>
      </c>
      <c r="C286" s="246">
        <v>0</v>
      </c>
      <c r="D286" s="246">
        <v>12</v>
      </c>
      <c r="E286" s="246">
        <v>38</v>
      </c>
      <c r="F286" s="246">
        <v>0</v>
      </c>
      <c r="G286" s="246">
        <v>6</v>
      </c>
      <c r="H286" s="246">
        <v>0</v>
      </c>
      <c r="I286" s="247">
        <v>0</v>
      </c>
      <c r="J286" s="247">
        <v>0</v>
      </c>
      <c r="K286" s="247">
        <v>0</v>
      </c>
      <c r="L286" s="246">
        <v>0</v>
      </c>
      <c r="M286" s="246">
        <v>0</v>
      </c>
      <c r="N286" s="248">
        <v>6</v>
      </c>
    </row>
    <row r="287" spans="2:27" x14ac:dyDescent="0.25">
      <c r="B287" s="244">
        <v>2</v>
      </c>
      <c r="C287" s="246">
        <v>0</v>
      </c>
      <c r="D287" s="246">
        <v>68</v>
      </c>
      <c r="E287" s="246">
        <v>169</v>
      </c>
      <c r="F287" s="246">
        <v>0</v>
      </c>
      <c r="G287" s="246">
        <v>0</v>
      </c>
      <c r="H287" s="246">
        <v>4</v>
      </c>
      <c r="I287" s="246">
        <v>0</v>
      </c>
      <c r="J287" s="246">
        <v>0</v>
      </c>
      <c r="K287" s="246">
        <v>0</v>
      </c>
      <c r="L287" s="246">
        <v>0</v>
      </c>
      <c r="M287" s="246">
        <v>0</v>
      </c>
      <c r="N287" s="248">
        <v>6</v>
      </c>
    </row>
    <row r="288" spans="2:27" x14ac:dyDescent="0.25">
      <c r="B288" s="244">
        <v>3</v>
      </c>
      <c r="C288" s="246">
        <v>0</v>
      </c>
      <c r="D288" s="246">
        <v>0</v>
      </c>
      <c r="E288" s="246">
        <v>6</v>
      </c>
      <c r="F288" s="246">
        <v>36</v>
      </c>
      <c r="G288" s="246">
        <v>0</v>
      </c>
      <c r="H288" s="246">
        <v>28</v>
      </c>
      <c r="I288" s="246">
        <v>0</v>
      </c>
      <c r="J288" s="246">
        <v>0</v>
      </c>
      <c r="K288" s="246">
        <v>0</v>
      </c>
      <c r="L288" s="246">
        <v>0</v>
      </c>
      <c r="M288" s="246">
        <v>0</v>
      </c>
      <c r="N288" s="248">
        <v>0</v>
      </c>
    </row>
    <row r="289" spans="2:14" x14ac:dyDescent="0.25">
      <c r="B289" s="244">
        <v>4</v>
      </c>
      <c r="C289" s="246">
        <v>0</v>
      </c>
      <c r="D289" s="246">
        <v>38</v>
      </c>
      <c r="E289" s="246">
        <v>19</v>
      </c>
      <c r="F289" s="246">
        <v>49</v>
      </c>
      <c r="G289" s="246">
        <v>10</v>
      </c>
      <c r="H289" s="246">
        <v>0</v>
      </c>
      <c r="I289" s="246">
        <v>0</v>
      </c>
      <c r="J289" s="246">
        <v>0</v>
      </c>
      <c r="K289" s="246">
        <v>0</v>
      </c>
      <c r="L289" s="246">
        <v>18</v>
      </c>
      <c r="M289" s="246">
        <v>5</v>
      </c>
      <c r="N289" s="248">
        <v>0</v>
      </c>
    </row>
    <row r="290" spans="2:14" x14ac:dyDescent="0.25">
      <c r="B290" s="244">
        <v>5</v>
      </c>
      <c r="C290" s="246">
        <v>0</v>
      </c>
      <c r="D290" s="246">
        <v>29</v>
      </c>
      <c r="E290" s="246">
        <v>43</v>
      </c>
      <c r="F290" s="246">
        <v>0</v>
      </c>
      <c r="G290" s="246">
        <v>0</v>
      </c>
      <c r="H290" s="246">
        <v>0</v>
      </c>
      <c r="I290" s="246">
        <v>0</v>
      </c>
      <c r="J290" s="246">
        <v>0</v>
      </c>
      <c r="K290" s="246">
        <v>0</v>
      </c>
      <c r="L290" s="246">
        <v>0</v>
      </c>
      <c r="M290" s="246">
        <v>7</v>
      </c>
      <c r="N290" s="248">
        <v>0</v>
      </c>
    </row>
    <row r="291" spans="2:14" x14ac:dyDescent="0.25">
      <c r="B291" s="244">
        <v>6</v>
      </c>
      <c r="C291" s="246">
        <v>6</v>
      </c>
      <c r="D291" s="246">
        <v>0</v>
      </c>
      <c r="E291" s="246">
        <v>13</v>
      </c>
      <c r="F291" s="246">
        <v>19</v>
      </c>
      <c r="G291" s="246">
        <v>8</v>
      </c>
      <c r="H291" s="246">
        <v>0</v>
      </c>
      <c r="I291" s="246">
        <v>0</v>
      </c>
      <c r="J291" s="246">
        <v>0</v>
      </c>
      <c r="K291" s="246">
        <v>0</v>
      </c>
      <c r="L291" s="246">
        <v>0</v>
      </c>
      <c r="M291" s="246">
        <v>41</v>
      </c>
      <c r="N291" s="248">
        <v>0</v>
      </c>
    </row>
    <row r="292" spans="2:14" x14ac:dyDescent="0.25">
      <c r="B292" s="244">
        <v>7</v>
      </c>
      <c r="C292" s="246">
        <v>0</v>
      </c>
      <c r="D292" s="246">
        <v>0</v>
      </c>
      <c r="E292" s="246">
        <v>2</v>
      </c>
      <c r="F292" s="246">
        <v>6</v>
      </c>
      <c r="G292" s="246">
        <v>0</v>
      </c>
      <c r="H292" s="246">
        <v>0</v>
      </c>
      <c r="I292" s="246">
        <v>0</v>
      </c>
      <c r="J292" s="246">
        <v>0</v>
      </c>
      <c r="K292" s="246">
        <v>0</v>
      </c>
      <c r="L292" s="246">
        <v>0</v>
      </c>
      <c r="M292" s="246">
        <v>10</v>
      </c>
      <c r="N292" s="248">
        <v>0</v>
      </c>
    </row>
    <row r="293" spans="2:14" x14ac:dyDescent="0.25">
      <c r="B293" s="244">
        <v>8</v>
      </c>
      <c r="C293" s="246">
        <v>20</v>
      </c>
      <c r="D293" s="246">
        <v>6</v>
      </c>
      <c r="E293" s="246">
        <v>0</v>
      </c>
      <c r="F293" s="246">
        <v>6</v>
      </c>
      <c r="G293" s="246">
        <v>0</v>
      </c>
      <c r="H293" s="246">
        <v>0</v>
      </c>
      <c r="I293" s="246">
        <v>0</v>
      </c>
      <c r="J293" s="246">
        <v>0</v>
      </c>
      <c r="K293" s="246">
        <v>0</v>
      </c>
      <c r="L293" s="246">
        <v>0</v>
      </c>
      <c r="M293" s="246">
        <v>0</v>
      </c>
      <c r="N293" s="248">
        <v>0</v>
      </c>
    </row>
    <row r="294" spans="2:14" x14ac:dyDescent="0.25">
      <c r="B294" s="244">
        <v>9</v>
      </c>
      <c r="C294" s="246">
        <v>0</v>
      </c>
      <c r="D294" s="246">
        <v>104</v>
      </c>
      <c r="E294" s="246">
        <v>0</v>
      </c>
      <c r="F294" s="246">
        <v>0</v>
      </c>
      <c r="G294" s="246">
        <v>0</v>
      </c>
      <c r="H294" s="246">
        <v>0</v>
      </c>
      <c r="I294" s="246">
        <v>0</v>
      </c>
      <c r="J294" s="246">
        <v>0</v>
      </c>
      <c r="K294" s="246">
        <v>0</v>
      </c>
      <c r="L294" s="246">
        <v>34</v>
      </c>
      <c r="M294" s="246">
        <v>10</v>
      </c>
      <c r="N294" s="248">
        <v>11</v>
      </c>
    </row>
    <row r="295" spans="2:14" x14ac:dyDescent="0.25">
      <c r="B295" s="244">
        <v>10</v>
      </c>
      <c r="C295" s="246">
        <v>0</v>
      </c>
      <c r="D295" s="246">
        <v>0</v>
      </c>
      <c r="E295" s="246">
        <v>0</v>
      </c>
      <c r="F295" s="246">
        <v>0</v>
      </c>
      <c r="G295" s="246">
        <v>10</v>
      </c>
      <c r="H295" s="246">
        <v>0</v>
      </c>
      <c r="I295" s="246">
        <v>0</v>
      </c>
      <c r="J295" s="246">
        <v>0</v>
      </c>
      <c r="K295" s="246">
        <v>0</v>
      </c>
      <c r="L295" s="246">
        <v>0</v>
      </c>
      <c r="M295" s="246">
        <v>17</v>
      </c>
      <c r="N295" s="248">
        <v>0</v>
      </c>
    </row>
    <row r="296" spans="2:14" x14ac:dyDescent="0.25">
      <c r="B296" s="244">
        <v>11</v>
      </c>
      <c r="C296" s="246">
        <v>0</v>
      </c>
      <c r="D296" s="246">
        <v>18</v>
      </c>
      <c r="E296" s="246">
        <v>0</v>
      </c>
      <c r="F296" s="246">
        <v>0</v>
      </c>
      <c r="G296" s="246">
        <v>0</v>
      </c>
      <c r="H296" s="246">
        <v>0</v>
      </c>
      <c r="I296" s="246">
        <v>0</v>
      </c>
      <c r="J296" s="246">
        <v>0</v>
      </c>
      <c r="K296" s="246">
        <v>0</v>
      </c>
      <c r="L296" s="246">
        <v>70</v>
      </c>
      <c r="M296" s="246">
        <v>0</v>
      </c>
      <c r="N296" s="248">
        <v>0</v>
      </c>
    </row>
    <row r="297" spans="2:14" x14ac:dyDescent="0.25">
      <c r="B297" s="244">
        <v>12</v>
      </c>
      <c r="C297" s="246">
        <v>17</v>
      </c>
      <c r="D297" s="246">
        <v>0</v>
      </c>
      <c r="E297" s="246">
        <v>0</v>
      </c>
      <c r="F297" s="246">
        <v>84</v>
      </c>
      <c r="G297" s="246">
        <v>0</v>
      </c>
      <c r="H297" s="246">
        <v>0</v>
      </c>
      <c r="I297" s="246">
        <v>0</v>
      </c>
      <c r="J297" s="246">
        <v>0</v>
      </c>
      <c r="K297" s="246">
        <v>0</v>
      </c>
      <c r="L297" s="246">
        <v>0</v>
      </c>
      <c r="M297" s="246">
        <v>30</v>
      </c>
      <c r="N297" s="248">
        <v>13</v>
      </c>
    </row>
    <row r="298" spans="2:14" x14ac:dyDescent="0.25">
      <c r="B298" s="244">
        <v>13</v>
      </c>
      <c r="C298" s="246">
        <v>8</v>
      </c>
      <c r="D298" s="246">
        <v>14</v>
      </c>
      <c r="E298" s="246">
        <v>9</v>
      </c>
      <c r="F298" s="246">
        <v>0</v>
      </c>
      <c r="G298" s="246">
        <v>0</v>
      </c>
      <c r="H298" s="246">
        <v>60</v>
      </c>
      <c r="I298" s="246">
        <v>0</v>
      </c>
      <c r="J298" s="246">
        <v>0</v>
      </c>
      <c r="K298" s="246">
        <v>0</v>
      </c>
      <c r="L298" s="246">
        <v>0</v>
      </c>
      <c r="M298" s="246">
        <v>0</v>
      </c>
      <c r="N298" s="248">
        <v>0</v>
      </c>
    </row>
    <row r="299" spans="2:14" x14ac:dyDescent="0.25">
      <c r="B299" s="244">
        <v>14</v>
      </c>
      <c r="C299" s="246">
        <v>55</v>
      </c>
      <c r="D299" s="246">
        <v>6</v>
      </c>
      <c r="E299" s="246">
        <v>5</v>
      </c>
      <c r="F299" s="246">
        <v>0</v>
      </c>
      <c r="G299" s="246">
        <v>0</v>
      </c>
      <c r="H299" s="246">
        <v>0</v>
      </c>
      <c r="I299" s="246">
        <v>0</v>
      </c>
      <c r="J299" s="246">
        <v>0</v>
      </c>
      <c r="K299" s="246">
        <v>0</v>
      </c>
      <c r="L299" s="246">
        <v>0</v>
      </c>
      <c r="M299" s="246">
        <v>0</v>
      </c>
      <c r="N299" s="248">
        <v>84</v>
      </c>
    </row>
    <row r="300" spans="2:14" x14ac:dyDescent="0.25">
      <c r="B300" s="244">
        <v>15</v>
      </c>
      <c r="C300" s="246">
        <v>0</v>
      </c>
      <c r="D300" s="246">
        <v>10</v>
      </c>
      <c r="E300" s="246">
        <v>0</v>
      </c>
      <c r="F300" s="246">
        <v>100</v>
      </c>
      <c r="G300" s="246">
        <v>0</v>
      </c>
      <c r="H300" s="246">
        <v>25</v>
      </c>
      <c r="I300" s="246">
        <v>0</v>
      </c>
      <c r="J300" s="246">
        <v>0</v>
      </c>
      <c r="K300" s="246">
        <v>0</v>
      </c>
      <c r="L300" s="246">
        <v>0</v>
      </c>
      <c r="M300" s="246">
        <v>24</v>
      </c>
      <c r="N300" s="248">
        <v>0</v>
      </c>
    </row>
    <row r="301" spans="2:14" x14ac:dyDescent="0.25">
      <c r="B301" s="244">
        <v>16</v>
      </c>
      <c r="C301" s="246">
        <v>9</v>
      </c>
      <c r="D301" s="246">
        <v>0</v>
      </c>
      <c r="E301" s="246">
        <v>0</v>
      </c>
      <c r="F301" s="246">
        <v>0</v>
      </c>
      <c r="G301" s="246">
        <v>0</v>
      </c>
      <c r="H301" s="246">
        <v>0</v>
      </c>
      <c r="I301" s="246">
        <v>0</v>
      </c>
      <c r="J301" s="246">
        <v>0</v>
      </c>
      <c r="K301" s="246">
        <v>0</v>
      </c>
      <c r="L301" s="246">
        <v>0</v>
      </c>
      <c r="M301" s="246">
        <v>67</v>
      </c>
      <c r="N301" s="248">
        <v>14</v>
      </c>
    </row>
    <row r="302" spans="2:14" x14ac:dyDescent="0.25">
      <c r="B302" s="244">
        <v>17</v>
      </c>
      <c r="C302" s="246">
        <v>7</v>
      </c>
      <c r="D302" s="246">
        <v>70</v>
      </c>
      <c r="E302" s="246">
        <v>0</v>
      </c>
      <c r="F302" s="246">
        <v>0</v>
      </c>
      <c r="G302" s="246">
        <v>0</v>
      </c>
      <c r="H302" s="246">
        <v>0</v>
      </c>
      <c r="I302" s="246">
        <v>0</v>
      </c>
      <c r="J302" s="246">
        <v>0</v>
      </c>
      <c r="K302" s="246">
        <v>0</v>
      </c>
      <c r="L302" s="246">
        <v>0</v>
      </c>
      <c r="M302" s="246">
        <v>23</v>
      </c>
      <c r="N302" s="248">
        <v>11</v>
      </c>
    </row>
    <row r="303" spans="2:14" x14ac:dyDescent="0.25">
      <c r="B303" s="244">
        <v>18</v>
      </c>
      <c r="C303" s="246">
        <v>90</v>
      </c>
      <c r="D303" s="246">
        <v>27</v>
      </c>
      <c r="E303" s="246">
        <v>4</v>
      </c>
      <c r="F303" s="246">
        <v>0</v>
      </c>
      <c r="G303" s="246">
        <v>0</v>
      </c>
      <c r="H303" s="246">
        <v>0</v>
      </c>
      <c r="I303" s="246">
        <v>0</v>
      </c>
      <c r="J303" s="246">
        <v>0</v>
      </c>
      <c r="K303" s="246">
        <v>0</v>
      </c>
      <c r="L303" s="246">
        <v>0</v>
      </c>
      <c r="M303" s="246">
        <v>8</v>
      </c>
      <c r="N303" s="248">
        <v>0</v>
      </c>
    </row>
    <row r="304" spans="2:14" x14ac:dyDescent="0.25">
      <c r="B304" s="244">
        <v>19</v>
      </c>
      <c r="C304" s="246">
        <v>0</v>
      </c>
      <c r="D304" s="246">
        <v>0</v>
      </c>
      <c r="E304" s="246">
        <v>27</v>
      </c>
      <c r="F304" s="246">
        <v>0</v>
      </c>
      <c r="G304" s="246">
        <v>0</v>
      </c>
      <c r="H304" s="246">
        <v>0</v>
      </c>
      <c r="I304" s="246">
        <v>0</v>
      </c>
      <c r="J304" s="246">
        <v>0</v>
      </c>
      <c r="K304" s="246">
        <v>0</v>
      </c>
      <c r="L304" s="246">
        <v>0</v>
      </c>
      <c r="M304" s="246">
        <v>0</v>
      </c>
      <c r="N304" s="248">
        <v>20</v>
      </c>
    </row>
    <row r="305" spans="2:27" x14ac:dyDescent="0.25">
      <c r="B305" s="244">
        <v>20</v>
      </c>
      <c r="C305" s="246">
        <v>0</v>
      </c>
      <c r="D305" s="246">
        <v>17</v>
      </c>
      <c r="E305" s="246">
        <v>0</v>
      </c>
      <c r="F305" s="246">
        <v>20</v>
      </c>
      <c r="G305" s="246">
        <v>0</v>
      </c>
      <c r="H305" s="246">
        <v>0</v>
      </c>
      <c r="I305" s="246">
        <v>0</v>
      </c>
      <c r="J305" s="246">
        <v>0</v>
      </c>
      <c r="K305" s="246">
        <v>0</v>
      </c>
      <c r="L305" s="246">
        <v>0</v>
      </c>
      <c r="M305" s="246">
        <v>0</v>
      </c>
      <c r="N305" s="248">
        <v>21</v>
      </c>
    </row>
    <row r="306" spans="2:27" x14ac:dyDescent="0.25">
      <c r="B306" s="244">
        <v>21</v>
      </c>
      <c r="C306" s="246">
        <v>0</v>
      </c>
      <c r="D306" s="246">
        <v>19</v>
      </c>
      <c r="E306" s="246">
        <v>8</v>
      </c>
      <c r="F306" s="246">
        <v>0</v>
      </c>
      <c r="G306" s="246">
        <v>0</v>
      </c>
      <c r="H306" s="246">
        <v>7</v>
      </c>
      <c r="I306" s="246">
        <v>5</v>
      </c>
      <c r="J306" s="246">
        <v>0</v>
      </c>
      <c r="K306" s="246">
        <v>0</v>
      </c>
      <c r="L306" s="246">
        <v>0</v>
      </c>
      <c r="M306" s="246">
        <v>15</v>
      </c>
      <c r="N306" s="248">
        <v>12</v>
      </c>
    </row>
    <row r="307" spans="2:27" x14ac:dyDescent="0.25">
      <c r="B307" s="244">
        <v>22</v>
      </c>
      <c r="C307" s="246">
        <v>47</v>
      </c>
      <c r="D307" s="246">
        <v>12</v>
      </c>
      <c r="E307" s="246">
        <v>0</v>
      </c>
      <c r="F307" s="246">
        <v>37</v>
      </c>
      <c r="G307" s="246">
        <v>0</v>
      </c>
      <c r="H307" s="246">
        <v>0</v>
      </c>
      <c r="I307" s="246">
        <v>0</v>
      </c>
      <c r="J307" s="246">
        <v>0</v>
      </c>
      <c r="K307" s="246">
        <v>0</v>
      </c>
      <c r="L307" s="246">
        <v>0</v>
      </c>
      <c r="M307" s="246">
        <v>9</v>
      </c>
      <c r="N307" s="248">
        <v>64</v>
      </c>
    </row>
    <row r="308" spans="2:27" x14ac:dyDescent="0.25">
      <c r="B308" s="244">
        <v>23</v>
      </c>
      <c r="C308" s="246">
        <v>35</v>
      </c>
      <c r="D308" s="246">
        <v>48</v>
      </c>
      <c r="E308" s="246">
        <v>13</v>
      </c>
      <c r="F308" s="246">
        <v>36</v>
      </c>
      <c r="G308" s="246">
        <v>0</v>
      </c>
      <c r="H308" s="246">
        <v>0</v>
      </c>
      <c r="I308" s="246">
        <v>0</v>
      </c>
      <c r="J308" s="246">
        <v>0</v>
      </c>
      <c r="K308" s="246">
        <v>0</v>
      </c>
      <c r="L308" s="246">
        <v>0</v>
      </c>
      <c r="M308" s="246">
        <v>0</v>
      </c>
      <c r="N308" s="248">
        <v>0</v>
      </c>
    </row>
    <row r="309" spans="2:27" x14ac:dyDescent="0.25">
      <c r="B309" s="244">
        <v>24</v>
      </c>
      <c r="C309" s="246">
        <v>0</v>
      </c>
      <c r="D309" s="246">
        <v>0</v>
      </c>
      <c r="E309" s="246">
        <v>28</v>
      </c>
      <c r="F309" s="246">
        <v>0</v>
      </c>
      <c r="G309" s="246">
        <v>0</v>
      </c>
      <c r="H309" s="246">
        <v>0</v>
      </c>
      <c r="I309" s="246">
        <v>0</v>
      </c>
      <c r="J309" s="246">
        <v>0</v>
      </c>
      <c r="K309" s="246">
        <v>0</v>
      </c>
      <c r="L309" s="246">
        <v>0</v>
      </c>
      <c r="M309" s="246">
        <v>14</v>
      </c>
      <c r="N309" s="248">
        <v>0</v>
      </c>
    </row>
    <row r="310" spans="2:27" x14ac:dyDescent="0.25">
      <c r="B310" s="244">
        <v>25</v>
      </c>
      <c r="C310" s="246">
        <v>0</v>
      </c>
      <c r="D310" s="246">
        <v>20</v>
      </c>
      <c r="E310" s="246">
        <v>0</v>
      </c>
      <c r="F310" s="246">
        <v>0</v>
      </c>
      <c r="G310" s="246">
        <v>0</v>
      </c>
      <c r="H310" s="246">
        <v>3</v>
      </c>
      <c r="I310" s="246">
        <v>0</v>
      </c>
      <c r="J310" s="246">
        <v>0</v>
      </c>
      <c r="K310" s="246">
        <v>0</v>
      </c>
      <c r="L310" s="246">
        <v>0</v>
      </c>
      <c r="M310" s="246">
        <v>6</v>
      </c>
      <c r="N310" s="248">
        <v>0</v>
      </c>
    </row>
    <row r="311" spans="2:27" x14ac:dyDescent="0.25">
      <c r="B311" s="244">
        <v>26</v>
      </c>
      <c r="C311" s="246">
        <v>12</v>
      </c>
      <c r="D311" s="246">
        <v>59</v>
      </c>
      <c r="E311" s="246">
        <v>0</v>
      </c>
      <c r="F311" s="246">
        <v>0</v>
      </c>
      <c r="G311" s="246">
        <v>0</v>
      </c>
      <c r="H311" s="246">
        <v>0</v>
      </c>
      <c r="I311" s="246">
        <v>0</v>
      </c>
      <c r="J311" s="246">
        <v>0</v>
      </c>
      <c r="K311" s="246">
        <v>4</v>
      </c>
      <c r="L311" s="246">
        <v>8</v>
      </c>
      <c r="M311" s="246">
        <v>5</v>
      </c>
      <c r="N311" s="248">
        <v>0</v>
      </c>
    </row>
    <row r="312" spans="2:27" x14ac:dyDescent="0.25">
      <c r="B312" s="244">
        <v>27</v>
      </c>
      <c r="C312" s="246">
        <v>0</v>
      </c>
      <c r="D312" s="246">
        <v>7</v>
      </c>
      <c r="E312" s="246">
        <v>7</v>
      </c>
      <c r="F312" s="246">
        <v>25</v>
      </c>
      <c r="G312" s="246">
        <v>0</v>
      </c>
      <c r="H312" s="246">
        <v>40</v>
      </c>
      <c r="I312" s="246">
        <v>0</v>
      </c>
      <c r="J312" s="246">
        <v>0</v>
      </c>
      <c r="K312" s="246">
        <v>16</v>
      </c>
      <c r="L312" s="246">
        <v>0</v>
      </c>
      <c r="M312" s="246">
        <v>4</v>
      </c>
      <c r="N312" s="248">
        <v>6</v>
      </c>
    </row>
    <row r="313" spans="2:27" x14ac:dyDescent="0.25">
      <c r="B313" s="244">
        <v>28</v>
      </c>
      <c r="C313" s="246">
        <v>10</v>
      </c>
      <c r="D313" s="246">
        <v>2</v>
      </c>
      <c r="E313" s="246">
        <v>0</v>
      </c>
      <c r="F313" s="246">
        <v>0</v>
      </c>
      <c r="G313" s="246">
        <v>0</v>
      </c>
      <c r="H313" s="246">
        <v>0</v>
      </c>
      <c r="I313" s="246">
        <v>0</v>
      </c>
      <c r="J313" s="246">
        <v>0</v>
      </c>
      <c r="K313" s="246">
        <v>5</v>
      </c>
      <c r="L313" s="246">
        <v>14</v>
      </c>
      <c r="M313" s="246">
        <v>0</v>
      </c>
      <c r="N313" s="248">
        <v>60</v>
      </c>
    </row>
    <row r="314" spans="2:27" x14ac:dyDescent="0.25">
      <c r="B314" s="244">
        <v>29</v>
      </c>
      <c r="C314" s="246">
        <v>0</v>
      </c>
      <c r="D314" s="246"/>
      <c r="E314" s="246">
        <v>0</v>
      </c>
      <c r="F314" s="246">
        <v>78</v>
      </c>
      <c r="G314" s="246">
        <v>70</v>
      </c>
      <c r="H314" s="246">
        <v>2</v>
      </c>
      <c r="I314" s="246">
        <v>0</v>
      </c>
      <c r="J314" s="246">
        <v>0</v>
      </c>
      <c r="K314" s="246">
        <v>32</v>
      </c>
      <c r="L314" s="246">
        <v>0</v>
      </c>
      <c r="M314" s="246">
        <v>43</v>
      </c>
      <c r="N314" s="248">
        <v>0</v>
      </c>
    </row>
    <row r="315" spans="2:27" x14ac:dyDescent="0.25">
      <c r="B315" s="244">
        <v>30</v>
      </c>
      <c r="C315" s="246">
        <v>10</v>
      </c>
      <c r="D315" s="246"/>
      <c r="E315" s="246">
        <v>0</v>
      </c>
      <c r="F315" s="246">
        <v>0</v>
      </c>
      <c r="G315" s="246">
        <v>37</v>
      </c>
      <c r="H315" s="246">
        <v>0</v>
      </c>
      <c r="I315" s="246">
        <v>0</v>
      </c>
      <c r="J315" s="246">
        <v>0</v>
      </c>
      <c r="K315" s="246">
        <v>37</v>
      </c>
      <c r="L315" s="246">
        <v>0</v>
      </c>
      <c r="M315" s="246">
        <v>14</v>
      </c>
      <c r="N315" s="248">
        <v>0</v>
      </c>
    </row>
    <row r="316" spans="2:27" ht="15.75" thickBot="1" x14ac:dyDescent="0.3">
      <c r="B316" s="51">
        <v>31</v>
      </c>
      <c r="C316" s="243">
        <v>13</v>
      </c>
      <c r="D316" s="243"/>
      <c r="E316" s="243">
        <v>0</v>
      </c>
      <c r="F316" s="243"/>
      <c r="G316" s="243">
        <v>0</v>
      </c>
      <c r="H316" s="243"/>
      <c r="I316" s="243">
        <v>0</v>
      </c>
      <c r="J316" s="243">
        <v>0</v>
      </c>
      <c r="K316" s="243"/>
      <c r="L316" s="243">
        <v>0</v>
      </c>
      <c r="M316" s="243"/>
      <c r="N316" s="52">
        <v>0</v>
      </c>
    </row>
    <row r="317" spans="2:27" x14ac:dyDescent="0.25">
      <c r="B317" s="5" t="s">
        <v>22</v>
      </c>
      <c r="C317" s="6">
        <f>SUM(C286:C316)</f>
        <v>339</v>
      </c>
      <c r="D317" s="105">
        <f t="shared" ref="D317" si="201">SUM(D286:D316)</f>
        <v>586</v>
      </c>
      <c r="E317" s="105">
        <f t="shared" ref="E317" si="202">SUM(E286:E316)</f>
        <v>391</v>
      </c>
      <c r="F317" s="105">
        <f t="shared" ref="F317" si="203">SUM(F286:F316)</f>
        <v>496</v>
      </c>
      <c r="G317" s="105">
        <f t="shared" ref="G317" si="204">SUM(G286:G316)</f>
        <v>141</v>
      </c>
      <c r="H317" s="105">
        <f t="shared" ref="H317" si="205">SUM(H286:H316)</f>
        <v>169</v>
      </c>
      <c r="I317" s="105">
        <f t="shared" ref="I317" si="206">SUM(I286:I316)</f>
        <v>5</v>
      </c>
      <c r="J317" s="105">
        <f t="shared" ref="J317" si="207">SUM(J286:J316)</f>
        <v>0</v>
      </c>
      <c r="K317" s="105">
        <f t="shared" ref="K317" si="208">SUM(K286:K316)</f>
        <v>94</v>
      </c>
      <c r="L317" s="105">
        <f t="shared" ref="L317" si="209">SUM(L286:L316)</f>
        <v>144</v>
      </c>
      <c r="M317" s="105">
        <f t="shared" ref="M317" si="210">SUM(M286:M316)</f>
        <v>352</v>
      </c>
      <c r="N317" s="106">
        <f t="shared" ref="N317" si="211">SUM(N286:N316)</f>
        <v>328</v>
      </c>
    </row>
    <row r="318" spans="2:27" x14ac:dyDescent="0.25">
      <c r="B318" s="107" t="s">
        <v>23</v>
      </c>
      <c r="C318" s="102">
        <f>C317/$T$3</f>
        <v>33.9</v>
      </c>
      <c r="D318" s="101">
        <f t="shared" ref="D318" si="212">D317/$T$3</f>
        <v>58.6</v>
      </c>
      <c r="E318" s="101">
        <f t="shared" ref="E318" si="213">E317/$T$3</f>
        <v>39.1</v>
      </c>
      <c r="F318" s="101">
        <f t="shared" ref="F318" si="214">F317/$T$3</f>
        <v>49.6</v>
      </c>
      <c r="G318" s="101">
        <f t="shared" ref="G318" si="215">G317/$T$3</f>
        <v>14.1</v>
      </c>
      <c r="H318" s="101">
        <f t="shared" ref="H318" si="216">H317/$T$3</f>
        <v>16.899999999999999</v>
      </c>
      <c r="I318" s="101">
        <f t="shared" ref="I318" si="217">I317/$T$3</f>
        <v>0.5</v>
      </c>
      <c r="J318" s="101">
        <f t="shared" ref="J318" si="218">J317/$T$3</f>
        <v>0</v>
      </c>
      <c r="K318" s="101">
        <f t="shared" ref="K318" si="219">K317/$T$3</f>
        <v>9.4</v>
      </c>
      <c r="L318" s="101">
        <f t="shared" ref="L318" si="220">L317/$T$3</f>
        <v>14.4</v>
      </c>
      <c r="M318" s="101">
        <f t="shared" ref="M318" si="221">M317/$T$3</f>
        <v>35.200000000000003</v>
      </c>
      <c r="N318" s="108">
        <f t="shared" ref="N318" si="222">N317/$T$3</f>
        <v>32.799999999999997</v>
      </c>
      <c r="P318" s="234"/>
      <c r="Q318" s="234"/>
      <c r="R318" s="234"/>
      <c r="S318" s="234"/>
      <c r="T318" s="234"/>
      <c r="U318" s="234"/>
      <c r="V318" s="234"/>
      <c r="W318" s="234"/>
      <c r="X318" s="234"/>
      <c r="Y318" s="234"/>
      <c r="Z318" s="234"/>
      <c r="AA318" s="234"/>
    </row>
    <row r="319" spans="2:27" x14ac:dyDescent="0.25">
      <c r="B319" s="107" t="s">
        <v>18</v>
      </c>
      <c r="C319" s="109">
        <f>$T$4*((C318)^$T$5)</f>
        <v>266.3568457443352</v>
      </c>
      <c r="D319" s="110">
        <f t="shared" ref="D319" si="223">$T$4*((D318)^$T$5)</f>
        <v>560.703195860542</v>
      </c>
      <c r="E319" s="110">
        <f t="shared" ref="E319" si="224">$T$4*((E318)^$T$5)</f>
        <v>323.40941867538618</v>
      </c>
      <c r="F319" s="110">
        <f t="shared" ref="F319" si="225">$T$4*((F318)^$T$5)</f>
        <v>446.93807458100531</v>
      </c>
      <c r="G319" s="110">
        <f t="shared" ref="G319" si="226">$T$4*((G318)^$T$5)</f>
        <v>80.784913983673718</v>
      </c>
      <c r="H319" s="110">
        <f t="shared" ref="H319" si="227">$T$4*((H318)^$T$5)</f>
        <v>103.35183501883169</v>
      </c>
      <c r="I319" s="110">
        <f t="shared" ref="I319" si="228">$T$4*((I318)^$T$5)</f>
        <v>0.86097686052485223</v>
      </c>
      <c r="J319" s="110">
        <f t="shared" ref="J319" si="229">$T$4*((J318)^$T$5)</f>
        <v>0</v>
      </c>
      <c r="K319" s="110">
        <f t="shared" ref="K319" si="230">$T$4*((K318)^$T$5)</f>
        <v>46.542119250445673</v>
      </c>
      <c r="L319" s="110">
        <f t="shared" ref="L319" si="231">$T$4*((L318)^$T$5)</f>
        <v>83.131432253964277</v>
      </c>
      <c r="M319" s="110">
        <f t="shared" ref="M319" si="232">$T$4*((M318)^$T$5)</f>
        <v>280.34337409057366</v>
      </c>
      <c r="N319" s="111">
        <f t="shared" ref="N319" si="233">$T$4*((N318)^$T$5)</f>
        <v>254.67170808816746</v>
      </c>
      <c r="P319" s="234"/>
      <c r="Q319" s="234"/>
      <c r="R319" s="234"/>
      <c r="S319" s="234"/>
      <c r="T319" s="234"/>
      <c r="U319" s="234"/>
      <c r="V319" s="234"/>
      <c r="W319" s="234"/>
      <c r="X319" s="234"/>
      <c r="Y319" s="234"/>
      <c r="Z319" s="234"/>
      <c r="AA319" s="234"/>
    </row>
    <row r="320" spans="2:27" ht="15.75" thickBot="1" x14ac:dyDescent="0.3">
      <c r="B320" s="112" t="s">
        <v>19</v>
      </c>
      <c r="C320" s="341">
        <f>SUM(C319:N319)</f>
        <v>2447.0938944074501</v>
      </c>
      <c r="D320" s="341"/>
      <c r="E320" s="341"/>
      <c r="F320" s="341"/>
      <c r="G320" s="341"/>
      <c r="H320" s="341"/>
      <c r="I320" s="341"/>
      <c r="J320" s="341"/>
      <c r="K320" s="341"/>
      <c r="L320" s="341"/>
      <c r="M320" s="341"/>
      <c r="N320" s="342"/>
      <c r="P320" s="236"/>
      <c r="Q320" s="236"/>
      <c r="R320" s="236"/>
      <c r="S320" s="236"/>
      <c r="T320" s="236"/>
      <c r="U320" s="236"/>
      <c r="V320" s="236"/>
      <c r="W320" s="236"/>
      <c r="X320" s="236"/>
      <c r="Y320" s="236"/>
      <c r="Z320" s="236"/>
      <c r="AA320" s="236"/>
    </row>
    <row r="321" spans="2:33" x14ac:dyDescent="0.25"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</row>
    <row r="323" spans="2:33" ht="15.75" thickBot="1" x14ac:dyDescent="0.3">
      <c r="B323" s="235" t="s">
        <v>30</v>
      </c>
    </row>
    <row r="324" spans="2:33" ht="15.75" thickBot="1" x14ac:dyDescent="0.3">
      <c r="B324" s="336" t="s">
        <v>0</v>
      </c>
      <c r="C324" s="338" t="s">
        <v>259</v>
      </c>
      <c r="D324" s="339"/>
      <c r="E324" s="339"/>
      <c r="F324" s="339"/>
      <c r="G324" s="339"/>
      <c r="H324" s="339"/>
      <c r="I324" s="339"/>
      <c r="J324" s="339"/>
      <c r="K324" s="339"/>
      <c r="L324" s="339"/>
      <c r="M324" s="339"/>
      <c r="N324" s="340"/>
    </row>
    <row r="325" spans="2:33" ht="15.75" thickBot="1" x14ac:dyDescent="0.3">
      <c r="B325" s="337"/>
      <c r="C325" s="257" t="s">
        <v>137</v>
      </c>
      <c r="D325" s="258" t="s">
        <v>2</v>
      </c>
      <c r="E325" s="258" t="s">
        <v>3</v>
      </c>
      <c r="F325" s="258" t="s">
        <v>4</v>
      </c>
      <c r="G325" s="258" t="s">
        <v>5</v>
      </c>
      <c r="H325" s="258" t="s">
        <v>6</v>
      </c>
      <c r="I325" s="258" t="s">
        <v>8</v>
      </c>
      <c r="J325" s="258" t="s">
        <v>9</v>
      </c>
      <c r="K325" s="258" t="s">
        <v>10</v>
      </c>
      <c r="L325" s="258" t="s">
        <v>11</v>
      </c>
      <c r="M325" s="258" t="s">
        <v>138</v>
      </c>
      <c r="N325" s="259" t="s">
        <v>13</v>
      </c>
    </row>
    <row r="326" spans="2:33" x14ac:dyDescent="0.25">
      <c r="B326" s="260">
        <v>1</v>
      </c>
      <c r="C326" s="261">
        <v>0</v>
      </c>
      <c r="D326" s="261">
        <v>2</v>
      </c>
      <c r="E326" s="261">
        <v>0</v>
      </c>
      <c r="F326" s="261">
        <v>3</v>
      </c>
      <c r="G326" s="261">
        <v>0</v>
      </c>
      <c r="H326" s="261">
        <v>0</v>
      </c>
      <c r="I326" s="261">
        <v>0</v>
      </c>
      <c r="J326" s="261">
        <v>0</v>
      </c>
      <c r="K326" s="262"/>
      <c r="L326" s="262"/>
      <c r="M326" s="262"/>
      <c r="N326" s="263"/>
      <c r="P326" s="238"/>
      <c r="Q326" s="238"/>
      <c r="R326" s="238"/>
      <c r="S326" s="238"/>
      <c r="T326" s="238"/>
      <c r="U326" s="238"/>
      <c r="V326" s="238"/>
      <c r="W326" s="238"/>
      <c r="X326" s="238"/>
      <c r="Z326" s="238"/>
      <c r="AA326" s="238"/>
      <c r="AB326" s="238"/>
      <c r="AC326" s="238"/>
      <c r="AD326" s="238"/>
      <c r="AE326" s="238"/>
      <c r="AF326" s="238"/>
      <c r="AG326" s="238"/>
    </row>
    <row r="327" spans="2:33" x14ac:dyDescent="0.25">
      <c r="B327" s="264">
        <v>2</v>
      </c>
      <c r="C327" s="261">
        <v>0</v>
      </c>
      <c r="D327" s="261">
        <v>10</v>
      </c>
      <c r="E327" s="261">
        <v>4</v>
      </c>
      <c r="F327" s="261">
        <v>0</v>
      </c>
      <c r="G327" s="261">
        <v>0</v>
      </c>
      <c r="H327" s="261">
        <v>0</v>
      </c>
      <c r="I327" s="261">
        <v>0</v>
      </c>
      <c r="J327" s="261">
        <v>0</v>
      </c>
      <c r="K327" s="262"/>
      <c r="L327" s="262"/>
      <c r="M327" s="262"/>
      <c r="N327" s="263"/>
      <c r="P327" s="238"/>
      <c r="Q327" s="238"/>
      <c r="R327" s="238"/>
      <c r="S327" s="238"/>
      <c r="T327" s="238"/>
      <c r="U327" s="238"/>
      <c r="V327" s="238"/>
      <c r="W327" s="238"/>
      <c r="X327" s="238"/>
      <c r="Z327" s="238"/>
      <c r="AA327" s="238"/>
      <c r="AB327" s="238"/>
      <c r="AC327" s="238"/>
      <c r="AD327" s="238"/>
      <c r="AE327" s="238"/>
      <c r="AF327" s="238"/>
      <c r="AG327" s="238"/>
    </row>
    <row r="328" spans="2:33" x14ac:dyDescent="0.25">
      <c r="B328" s="264">
        <v>3</v>
      </c>
      <c r="C328" s="261">
        <v>0</v>
      </c>
      <c r="D328" s="261">
        <v>9</v>
      </c>
      <c r="E328" s="261">
        <v>0</v>
      </c>
      <c r="F328" s="261">
        <v>0</v>
      </c>
      <c r="G328" s="261">
        <v>0</v>
      </c>
      <c r="H328" s="261">
        <v>0</v>
      </c>
      <c r="I328" s="261">
        <v>0</v>
      </c>
      <c r="J328" s="261">
        <v>0</v>
      </c>
      <c r="K328" s="262"/>
      <c r="L328" s="262"/>
      <c r="M328" s="262"/>
      <c r="N328" s="263"/>
      <c r="P328" s="238"/>
      <c r="Q328" s="238"/>
      <c r="R328" s="238"/>
      <c r="S328" s="238"/>
      <c r="T328" s="238"/>
      <c r="U328" s="238"/>
      <c r="V328" s="238"/>
      <c r="W328" s="238"/>
      <c r="X328" s="238"/>
      <c r="Z328" s="238"/>
      <c r="AA328" s="238"/>
      <c r="AB328" s="238"/>
      <c r="AC328" s="238"/>
      <c r="AD328" s="238"/>
      <c r="AE328" s="238"/>
      <c r="AF328" s="238"/>
      <c r="AG328" s="238"/>
    </row>
    <row r="329" spans="2:33" x14ac:dyDescent="0.25">
      <c r="B329" s="264">
        <v>4</v>
      </c>
      <c r="C329" s="261">
        <v>7</v>
      </c>
      <c r="D329" s="261">
        <v>5</v>
      </c>
      <c r="E329" s="261">
        <v>0</v>
      </c>
      <c r="F329" s="261">
        <v>0</v>
      </c>
      <c r="G329" s="261">
        <v>0</v>
      </c>
      <c r="H329" s="261">
        <v>0</v>
      </c>
      <c r="I329" s="261">
        <v>0</v>
      </c>
      <c r="J329" s="261">
        <v>0</v>
      </c>
      <c r="K329" s="262"/>
      <c r="L329" s="262"/>
      <c r="M329" s="262"/>
      <c r="N329" s="263"/>
      <c r="P329" s="238"/>
      <c r="Q329" s="238"/>
      <c r="R329" s="238"/>
      <c r="S329" s="238"/>
      <c r="T329" s="238"/>
      <c r="U329" s="238"/>
      <c r="V329" s="238"/>
      <c r="W329" s="238"/>
      <c r="X329" s="238"/>
      <c r="Z329" s="238"/>
      <c r="AA329" s="238"/>
      <c r="AB329" s="238"/>
      <c r="AC329" s="238"/>
      <c r="AD329" s="238"/>
      <c r="AE329" s="238"/>
      <c r="AF329" s="238"/>
      <c r="AG329" s="238"/>
    </row>
    <row r="330" spans="2:33" x14ac:dyDescent="0.25">
      <c r="B330" s="264">
        <v>5</v>
      </c>
      <c r="C330" s="261">
        <v>8</v>
      </c>
      <c r="D330" s="261">
        <v>4</v>
      </c>
      <c r="E330" s="261">
        <v>41</v>
      </c>
      <c r="F330" s="261">
        <v>0</v>
      </c>
      <c r="G330" s="261">
        <v>0</v>
      </c>
      <c r="H330" s="261">
        <v>0</v>
      </c>
      <c r="I330" s="261">
        <v>0</v>
      </c>
      <c r="J330" s="261">
        <v>0</v>
      </c>
      <c r="K330" s="262"/>
      <c r="L330" s="262"/>
      <c r="M330" s="262"/>
      <c r="N330" s="263"/>
      <c r="P330" s="238"/>
      <c r="Q330" s="238"/>
      <c r="R330" s="238"/>
      <c r="S330" s="238"/>
      <c r="T330" s="238"/>
      <c r="U330" s="238"/>
      <c r="V330" s="238"/>
      <c r="W330" s="238"/>
      <c r="X330" s="238"/>
      <c r="Z330" s="238"/>
      <c r="AA330" s="238"/>
      <c r="AB330" s="238"/>
      <c r="AC330" s="238"/>
      <c r="AD330" s="238"/>
      <c r="AE330" s="238"/>
      <c r="AF330" s="238"/>
      <c r="AG330" s="238"/>
    </row>
    <row r="331" spans="2:33" x14ac:dyDescent="0.25">
      <c r="B331" s="264">
        <v>6</v>
      </c>
      <c r="C331" s="261">
        <v>0</v>
      </c>
      <c r="D331" s="261">
        <v>8</v>
      </c>
      <c r="E331" s="261">
        <v>40</v>
      </c>
      <c r="F331" s="261">
        <v>0</v>
      </c>
      <c r="G331" s="261">
        <v>0</v>
      </c>
      <c r="H331" s="261">
        <v>0</v>
      </c>
      <c r="I331" s="261">
        <v>0</v>
      </c>
      <c r="J331" s="261">
        <v>0</v>
      </c>
      <c r="K331" s="262"/>
      <c r="L331" s="262"/>
      <c r="M331" s="262"/>
      <c r="N331" s="263"/>
      <c r="P331" s="238"/>
      <c r="Q331" s="238"/>
      <c r="R331" s="238"/>
      <c r="S331" s="238"/>
      <c r="T331" s="238"/>
      <c r="U331" s="238"/>
      <c r="V331" s="238"/>
      <c r="W331" s="238"/>
      <c r="X331" s="238"/>
      <c r="Z331" s="238"/>
      <c r="AA331" s="238"/>
      <c r="AB331" s="238"/>
      <c r="AC331" s="238"/>
      <c r="AD331" s="238"/>
      <c r="AE331" s="238"/>
      <c r="AF331" s="238"/>
      <c r="AG331" s="238"/>
    </row>
    <row r="332" spans="2:33" x14ac:dyDescent="0.25">
      <c r="B332" s="264">
        <v>7</v>
      </c>
      <c r="C332" s="261">
        <v>4</v>
      </c>
      <c r="D332" s="261">
        <v>0</v>
      </c>
      <c r="E332" s="261">
        <v>0</v>
      </c>
      <c r="F332" s="261">
        <v>7</v>
      </c>
      <c r="G332" s="261">
        <v>0</v>
      </c>
      <c r="H332" s="261">
        <v>0</v>
      </c>
      <c r="I332" s="261">
        <v>0</v>
      </c>
      <c r="J332" s="261">
        <v>0</v>
      </c>
      <c r="K332" s="262"/>
      <c r="L332" s="262"/>
      <c r="M332" s="262"/>
      <c r="N332" s="263"/>
      <c r="P332" s="238"/>
      <c r="Q332" s="238"/>
      <c r="R332" s="238"/>
      <c r="S332" s="238"/>
      <c r="T332" s="238"/>
      <c r="U332" s="238"/>
      <c r="V332" s="238"/>
      <c r="W332" s="238"/>
      <c r="X332" s="238"/>
      <c r="Z332" s="238"/>
      <c r="AA332" s="238"/>
      <c r="AB332" s="238"/>
      <c r="AC332" s="238"/>
      <c r="AD332" s="238"/>
      <c r="AE332" s="238"/>
      <c r="AF332" s="238"/>
      <c r="AG332" s="238"/>
    </row>
    <row r="333" spans="2:33" x14ac:dyDescent="0.25">
      <c r="B333" s="264">
        <v>8</v>
      </c>
      <c r="C333" s="261">
        <v>65</v>
      </c>
      <c r="D333" s="261">
        <v>54</v>
      </c>
      <c r="E333" s="261">
        <v>22</v>
      </c>
      <c r="F333" s="261">
        <v>8</v>
      </c>
      <c r="G333" s="261">
        <v>0</v>
      </c>
      <c r="H333" s="261">
        <v>0</v>
      </c>
      <c r="I333" s="261">
        <v>0</v>
      </c>
      <c r="J333" s="261">
        <v>0</v>
      </c>
      <c r="K333" s="262"/>
      <c r="L333" s="262"/>
      <c r="M333" s="262"/>
      <c r="N333" s="263"/>
      <c r="P333" s="238"/>
      <c r="Q333" s="238"/>
      <c r="R333" s="238"/>
      <c r="S333" s="238"/>
      <c r="T333" s="238"/>
      <c r="U333" s="238"/>
      <c r="V333" s="238"/>
      <c r="W333" s="238"/>
      <c r="X333" s="238"/>
      <c r="Z333" s="238"/>
      <c r="AA333" s="238"/>
      <c r="AB333" s="238"/>
      <c r="AC333" s="238"/>
      <c r="AD333" s="238"/>
      <c r="AE333" s="238"/>
      <c r="AF333" s="238"/>
      <c r="AG333" s="238"/>
    </row>
    <row r="334" spans="2:33" x14ac:dyDescent="0.25">
      <c r="B334" s="264">
        <v>9</v>
      </c>
      <c r="C334" s="261">
        <v>35</v>
      </c>
      <c r="D334" s="261">
        <v>83</v>
      </c>
      <c r="E334" s="261">
        <v>0</v>
      </c>
      <c r="F334" s="261">
        <v>0</v>
      </c>
      <c r="G334" s="261">
        <v>0</v>
      </c>
      <c r="H334" s="261">
        <v>0</v>
      </c>
      <c r="I334" s="261">
        <v>0</v>
      </c>
      <c r="J334" s="261">
        <v>0</v>
      </c>
      <c r="K334" s="262"/>
      <c r="L334" s="262"/>
      <c r="M334" s="262"/>
      <c r="N334" s="263"/>
      <c r="P334" s="238"/>
      <c r="Q334" s="238"/>
      <c r="R334" s="238"/>
      <c r="S334" s="238"/>
      <c r="T334" s="238"/>
      <c r="U334" s="238"/>
      <c r="V334" s="238"/>
      <c r="W334" s="238"/>
      <c r="X334" s="238"/>
      <c r="Z334" s="238"/>
      <c r="AA334" s="238"/>
      <c r="AB334" s="238"/>
      <c r="AC334" s="238"/>
      <c r="AD334" s="238"/>
      <c r="AE334" s="238"/>
      <c r="AF334" s="238"/>
      <c r="AG334" s="238"/>
    </row>
    <row r="335" spans="2:33" x14ac:dyDescent="0.25">
      <c r="B335" s="264">
        <v>10</v>
      </c>
      <c r="C335" s="261">
        <v>0</v>
      </c>
      <c r="D335" s="261">
        <v>20</v>
      </c>
      <c r="E335" s="261">
        <v>0</v>
      </c>
      <c r="F335" s="261">
        <v>0</v>
      </c>
      <c r="G335" s="261">
        <v>0</v>
      </c>
      <c r="H335" s="261">
        <v>0</v>
      </c>
      <c r="I335" s="261">
        <v>0</v>
      </c>
      <c r="J335" s="261">
        <v>0</v>
      </c>
      <c r="K335" s="262"/>
      <c r="L335" s="262"/>
      <c r="M335" s="262"/>
      <c r="N335" s="263"/>
      <c r="P335" s="238"/>
      <c r="Q335" s="238"/>
      <c r="R335" s="238"/>
      <c r="S335" s="238"/>
      <c r="T335" s="238"/>
      <c r="U335" s="238"/>
      <c r="V335" s="238"/>
      <c r="W335" s="238"/>
      <c r="X335" s="238"/>
      <c r="Z335" s="238"/>
      <c r="AA335" s="238"/>
      <c r="AB335" s="238"/>
      <c r="AC335" s="238"/>
      <c r="AD335" s="238"/>
      <c r="AE335" s="238"/>
      <c r="AF335" s="238"/>
      <c r="AG335" s="238"/>
    </row>
    <row r="336" spans="2:33" x14ac:dyDescent="0.25">
      <c r="B336" s="264">
        <v>11</v>
      </c>
      <c r="C336" s="261">
        <v>37</v>
      </c>
      <c r="D336" s="261">
        <v>42</v>
      </c>
      <c r="E336" s="261">
        <v>0</v>
      </c>
      <c r="F336" s="261">
        <v>0</v>
      </c>
      <c r="G336" s="261">
        <v>0</v>
      </c>
      <c r="H336" s="261">
        <v>0</v>
      </c>
      <c r="I336" s="261">
        <v>0</v>
      </c>
      <c r="J336" s="261">
        <v>0</v>
      </c>
      <c r="K336" s="262"/>
      <c r="L336" s="262"/>
      <c r="M336" s="262"/>
      <c r="N336" s="263"/>
      <c r="P336" s="238"/>
      <c r="Q336" s="238"/>
      <c r="R336" s="238"/>
      <c r="S336" s="238"/>
      <c r="T336" s="238"/>
      <c r="U336" s="238"/>
      <c r="V336" s="238"/>
      <c r="W336" s="238"/>
      <c r="X336" s="238"/>
      <c r="Z336" s="238"/>
      <c r="AA336" s="238"/>
      <c r="AB336" s="238"/>
      <c r="AC336" s="238"/>
      <c r="AD336" s="238"/>
      <c r="AE336" s="238"/>
      <c r="AF336" s="238"/>
      <c r="AG336" s="238"/>
    </row>
    <row r="337" spans="2:33" x14ac:dyDescent="0.25">
      <c r="B337" s="264">
        <v>12</v>
      </c>
      <c r="C337" s="261">
        <v>53</v>
      </c>
      <c r="D337" s="261">
        <v>4</v>
      </c>
      <c r="E337" s="261">
        <v>22</v>
      </c>
      <c r="F337" s="261">
        <v>0</v>
      </c>
      <c r="G337" s="261">
        <v>0</v>
      </c>
      <c r="H337" s="261">
        <v>0</v>
      </c>
      <c r="I337" s="261">
        <v>0</v>
      </c>
      <c r="J337" s="261">
        <v>0</v>
      </c>
      <c r="K337" s="262"/>
      <c r="L337" s="262"/>
      <c r="M337" s="262"/>
      <c r="N337" s="263"/>
      <c r="P337" s="238"/>
      <c r="Q337" s="238"/>
      <c r="R337" s="238"/>
      <c r="S337" s="238"/>
      <c r="T337" s="238"/>
      <c r="U337" s="238"/>
      <c r="V337" s="238"/>
      <c r="W337" s="238"/>
      <c r="X337" s="238"/>
      <c r="Z337" s="238"/>
      <c r="AA337" s="238"/>
      <c r="AB337" s="238"/>
      <c r="AC337" s="238"/>
      <c r="AD337" s="238"/>
      <c r="AE337" s="238"/>
      <c r="AF337" s="238"/>
      <c r="AG337" s="238"/>
    </row>
    <row r="338" spans="2:33" x14ac:dyDescent="0.25">
      <c r="B338" s="264">
        <v>13</v>
      </c>
      <c r="C338" s="261">
        <v>0</v>
      </c>
      <c r="D338" s="261">
        <v>0</v>
      </c>
      <c r="E338" s="261">
        <v>0</v>
      </c>
      <c r="F338" s="261">
        <v>0</v>
      </c>
      <c r="G338" s="261">
        <v>0</v>
      </c>
      <c r="H338" s="261">
        <v>0</v>
      </c>
      <c r="I338" s="261">
        <v>0</v>
      </c>
      <c r="J338" s="261">
        <v>0</v>
      </c>
      <c r="K338" s="262"/>
      <c r="L338" s="262"/>
      <c r="M338" s="262"/>
      <c r="N338" s="263"/>
      <c r="P338" s="238"/>
      <c r="Q338" s="238"/>
      <c r="R338" s="238"/>
      <c r="S338" s="238"/>
      <c r="T338" s="238"/>
      <c r="U338" s="238"/>
      <c r="V338" s="238"/>
      <c r="W338" s="238"/>
      <c r="X338" s="238"/>
      <c r="Z338" s="238"/>
      <c r="AA338" s="238"/>
      <c r="AB338" s="238"/>
      <c r="AC338" s="238"/>
      <c r="AD338" s="238"/>
      <c r="AE338" s="238"/>
      <c r="AF338" s="238"/>
      <c r="AG338" s="238"/>
    </row>
    <row r="339" spans="2:33" x14ac:dyDescent="0.25">
      <c r="B339" s="264">
        <v>14</v>
      </c>
      <c r="C339" s="261">
        <v>20</v>
      </c>
      <c r="D339" s="261">
        <v>7</v>
      </c>
      <c r="E339" s="261">
        <v>0</v>
      </c>
      <c r="F339" s="261">
        <v>22</v>
      </c>
      <c r="G339" s="261">
        <v>0</v>
      </c>
      <c r="H339" s="261">
        <v>0</v>
      </c>
      <c r="I339" s="261">
        <v>0</v>
      </c>
      <c r="J339" s="261">
        <v>0</v>
      </c>
      <c r="K339" s="262"/>
      <c r="L339" s="262"/>
      <c r="M339" s="262"/>
      <c r="N339" s="263"/>
      <c r="P339" s="238"/>
      <c r="Q339" s="238"/>
      <c r="R339" s="238"/>
      <c r="S339" s="238"/>
      <c r="T339" s="238"/>
      <c r="U339" s="238"/>
      <c r="V339" s="238"/>
      <c r="W339" s="238"/>
      <c r="X339" s="238"/>
      <c r="Z339" s="238"/>
      <c r="AA339" s="238"/>
      <c r="AB339" s="238"/>
      <c r="AC339" s="238"/>
      <c r="AD339" s="238"/>
      <c r="AE339" s="238"/>
      <c r="AF339" s="238"/>
      <c r="AG339" s="238"/>
    </row>
    <row r="340" spans="2:33" x14ac:dyDescent="0.25">
      <c r="B340" s="264">
        <v>15</v>
      </c>
      <c r="C340" s="261">
        <v>0</v>
      </c>
      <c r="D340" s="261">
        <v>6</v>
      </c>
      <c r="E340" s="261">
        <v>0</v>
      </c>
      <c r="F340" s="261">
        <v>0</v>
      </c>
      <c r="G340" s="261">
        <v>0</v>
      </c>
      <c r="H340" s="261">
        <v>0</v>
      </c>
      <c r="I340" s="261">
        <v>0</v>
      </c>
      <c r="J340" s="261">
        <v>0</v>
      </c>
      <c r="K340" s="262"/>
      <c r="L340" s="262"/>
      <c r="M340" s="262"/>
      <c r="N340" s="263"/>
      <c r="P340" s="238"/>
      <c r="Q340" s="238"/>
      <c r="R340" s="238"/>
      <c r="S340" s="238"/>
      <c r="T340" s="238"/>
      <c r="U340" s="238"/>
      <c r="V340" s="238"/>
      <c r="W340" s="238"/>
      <c r="X340" s="238"/>
      <c r="Z340" s="238"/>
      <c r="AA340" s="238"/>
      <c r="AB340" s="238"/>
      <c r="AC340" s="238"/>
      <c r="AD340" s="238"/>
      <c r="AE340" s="238"/>
      <c r="AF340" s="238"/>
      <c r="AG340" s="238"/>
    </row>
    <row r="341" spans="2:33" x14ac:dyDescent="0.25">
      <c r="B341" s="264">
        <v>16</v>
      </c>
      <c r="C341" s="261">
        <v>0</v>
      </c>
      <c r="D341" s="261">
        <v>40</v>
      </c>
      <c r="E341" s="261">
        <v>0</v>
      </c>
      <c r="F341" s="261">
        <v>0</v>
      </c>
      <c r="G341" s="261">
        <v>1</v>
      </c>
      <c r="H341" s="261">
        <v>0</v>
      </c>
      <c r="I341" s="261">
        <v>0</v>
      </c>
      <c r="J341" s="261">
        <v>0</v>
      </c>
      <c r="K341" s="262"/>
      <c r="L341" s="262"/>
      <c r="M341" s="262"/>
      <c r="N341" s="263"/>
      <c r="P341" s="238"/>
      <c r="Q341" s="238"/>
      <c r="R341" s="238"/>
      <c r="S341" s="238"/>
      <c r="T341" s="238"/>
      <c r="U341" s="238"/>
      <c r="V341" s="238"/>
      <c r="W341" s="238"/>
      <c r="X341" s="238"/>
      <c r="Z341" s="238"/>
      <c r="AA341" s="238"/>
      <c r="AB341" s="238"/>
      <c r="AC341" s="238"/>
      <c r="AD341" s="238"/>
      <c r="AE341" s="238"/>
      <c r="AF341" s="238"/>
      <c r="AG341" s="238"/>
    </row>
    <row r="342" spans="2:33" x14ac:dyDescent="0.25">
      <c r="B342" s="264">
        <v>17</v>
      </c>
      <c r="C342" s="261">
        <v>3</v>
      </c>
      <c r="D342" s="261">
        <v>72</v>
      </c>
      <c r="E342" s="261">
        <v>0</v>
      </c>
      <c r="F342" s="261">
        <v>0</v>
      </c>
      <c r="G342" s="261">
        <v>0</v>
      </c>
      <c r="H342" s="261">
        <v>0</v>
      </c>
      <c r="I342" s="261">
        <v>0</v>
      </c>
      <c r="J342" s="261">
        <v>0</v>
      </c>
      <c r="K342" s="262"/>
      <c r="L342" s="262"/>
      <c r="M342" s="262"/>
      <c r="N342" s="263"/>
      <c r="P342" s="238"/>
      <c r="Q342" s="238"/>
      <c r="R342" s="238"/>
      <c r="S342" s="238"/>
      <c r="T342" s="238"/>
      <c r="U342" s="238"/>
      <c r="V342" s="238"/>
      <c r="W342" s="238"/>
      <c r="X342" s="238"/>
      <c r="Z342" s="238"/>
      <c r="AA342" s="238"/>
      <c r="AB342" s="238"/>
      <c r="AC342" s="238"/>
      <c r="AD342" s="238"/>
      <c r="AE342" s="238"/>
      <c r="AF342" s="238"/>
      <c r="AG342" s="238"/>
    </row>
    <row r="343" spans="2:33" x14ac:dyDescent="0.25">
      <c r="B343" s="264">
        <v>18</v>
      </c>
      <c r="C343" s="261">
        <v>4</v>
      </c>
      <c r="D343" s="261">
        <v>38</v>
      </c>
      <c r="E343" s="261">
        <v>0</v>
      </c>
      <c r="F343" s="261">
        <v>20</v>
      </c>
      <c r="G343" s="261">
        <v>0</v>
      </c>
      <c r="H343" s="261">
        <v>0</v>
      </c>
      <c r="I343" s="261">
        <v>0</v>
      </c>
      <c r="J343" s="261">
        <v>0</v>
      </c>
      <c r="K343" s="262"/>
      <c r="L343" s="262"/>
      <c r="M343" s="262"/>
      <c r="N343" s="263"/>
      <c r="P343" s="238"/>
      <c r="Q343" s="238"/>
      <c r="R343" s="238"/>
      <c r="S343" s="238"/>
      <c r="T343" s="238"/>
      <c r="U343" s="238"/>
      <c r="V343" s="238"/>
      <c r="W343" s="238"/>
      <c r="X343" s="238"/>
      <c r="Z343" s="238"/>
      <c r="AA343" s="238"/>
      <c r="AB343" s="238"/>
      <c r="AC343" s="238"/>
      <c r="AD343" s="238"/>
      <c r="AE343" s="238"/>
      <c r="AF343" s="238"/>
      <c r="AG343" s="238"/>
    </row>
    <row r="344" spans="2:33" x14ac:dyDescent="0.25">
      <c r="B344" s="264">
        <v>19</v>
      </c>
      <c r="C344" s="261">
        <v>9</v>
      </c>
      <c r="D344" s="261">
        <v>8</v>
      </c>
      <c r="E344" s="261">
        <v>0</v>
      </c>
      <c r="F344" s="261">
        <v>5</v>
      </c>
      <c r="G344" s="261">
        <v>0</v>
      </c>
      <c r="H344" s="261">
        <v>0</v>
      </c>
      <c r="I344" s="261">
        <v>0</v>
      </c>
      <c r="J344" s="261">
        <v>0</v>
      </c>
      <c r="K344" s="262"/>
      <c r="L344" s="262"/>
      <c r="M344" s="262"/>
      <c r="N344" s="263"/>
      <c r="P344" s="238"/>
      <c r="Q344" s="238"/>
      <c r="R344" s="238"/>
      <c r="S344" s="238"/>
      <c r="T344" s="238"/>
      <c r="U344" s="238"/>
      <c r="V344" s="238"/>
      <c r="W344" s="238"/>
      <c r="X344" s="238"/>
      <c r="Z344" s="238"/>
      <c r="AA344" s="238"/>
      <c r="AB344" s="238"/>
      <c r="AC344" s="238"/>
      <c r="AD344" s="238"/>
      <c r="AE344" s="238"/>
      <c r="AF344" s="238"/>
      <c r="AG344" s="238"/>
    </row>
    <row r="345" spans="2:33" x14ac:dyDescent="0.25">
      <c r="B345" s="264">
        <v>20</v>
      </c>
      <c r="C345" s="261">
        <v>5</v>
      </c>
      <c r="D345" s="261">
        <v>0</v>
      </c>
      <c r="E345" s="261">
        <v>0</v>
      </c>
      <c r="F345" s="261">
        <v>0</v>
      </c>
      <c r="G345" s="261">
        <v>0</v>
      </c>
      <c r="H345" s="261">
        <v>0</v>
      </c>
      <c r="I345" s="261">
        <v>0</v>
      </c>
      <c r="J345" s="261">
        <v>0</v>
      </c>
      <c r="K345" s="262"/>
      <c r="L345" s="262"/>
      <c r="M345" s="262"/>
      <c r="N345" s="263"/>
      <c r="P345" s="238"/>
      <c r="Q345" s="238"/>
      <c r="R345" s="238"/>
      <c r="S345" s="238"/>
      <c r="T345" s="238"/>
      <c r="U345" s="238"/>
      <c r="V345" s="238"/>
      <c r="W345" s="238"/>
      <c r="X345" s="238"/>
      <c r="Z345" s="238"/>
      <c r="AA345" s="238"/>
      <c r="AB345" s="238"/>
      <c r="AC345" s="238"/>
      <c r="AD345" s="238"/>
      <c r="AE345" s="238"/>
      <c r="AF345" s="238"/>
      <c r="AG345" s="238"/>
    </row>
    <row r="346" spans="2:33" x14ac:dyDescent="0.25">
      <c r="B346" s="264">
        <v>21</v>
      </c>
      <c r="C346" s="261">
        <v>14</v>
      </c>
      <c r="D346" s="261">
        <v>0</v>
      </c>
      <c r="E346" s="261">
        <v>0</v>
      </c>
      <c r="F346" s="261">
        <v>8</v>
      </c>
      <c r="G346" s="261">
        <v>0</v>
      </c>
      <c r="H346" s="261">
        <v>18</v>
      </c>
      <c r="I346" s="261">
        <v>0</v>
      </c>
      <c r="J346" s="261">
        <v>0</v>
      </c>
      <c r="K346" s="262"/>
      <c r="L346" s="262"/>
      <c r="M346" s="262"/>
      <c r="N346" s="263"/>
      <c r="P346" s="238"/>
      <c r="Q346" s="238"/>
      <c r="R346" s="238"/>
      <c r="S346" s="238"/>
      <c r="T346" s="238"/>
      <c r="U346" s="238"/>
      <c r="V346" s="238"/>
      <c r="W346" s="238"/>
      <c r="X346" s="238"/>
      <c r="Z346" s="238"/>
      <c r="AA346" s="238"/>
      <c r="AB346" s="238"/>
      <c r="AC346" s="238"/>
      <c r="AD346" s="238"/>
      <c r="AE346" s="238"/>
      <c r="AF346" s="238"/>
      <c r="AG346" s="238"/>
    </row>
    <row r="347" spans="2:33" x14ac:dyDescent="0.25">
      <c r="B347" s="264">
        <v>22</v>
      </c>
      <c r="C347" s="261">
        <v>6</v>
      </c>
      <c r="D347" s="261">
        <v>17</v>
      </c>
      <c r="E347" s="261">
        <v>0</v>
      </c>
      <c r="F347" s="261">
        <v>0</v>
      </c>
      <c r="G347" s="261">
        <v>10</v>
      </c>
      <c r="H347" s="261">
        <v>3</v>
      </c>
      <c r="I347" s="261">
        <v>0</v>
      </c>
      <c r="J347" s="261">
        <v>0</v>
      </c>
      <c r="K347" s="262"/>
      <c r="L347" s="262"/>
      <c r="M347" s="262"/>
      <c r="N347" s="263"/>
      <c r="P347" s="238"/>
      <c r="Q347" s="238"/>
      <c r="R347" s="238"/>
      <c r="S347" s="238"/>
      <c r="T347" s="238"/>
      <c r="U347" s="238"/>
      <c r="V347" s="238"/>
      <c r="W347" s="238"/>
      <c r="X347" s="238"/>
      <c r="Z347" s="238"/>
      <c r="AA347" s="238"/>
      <c r="AB347" s="238"/>
      <c r="AC347" s="238"/>
      <c r="AD347" s="238"/>
      <c r="AE347" s="238"/>
      <c r="AF347" s="238"/>
      <c r="AG347" s="238"/>
    </row>
    <row r="348" spans="2:33" x14ac:dyDescent="0.25">
      <c r="B348" s="264">
        <v>23</v>
      </c>
      <c r="C348" s="261">
        <v>8</v>
      </c>
      <c r="D348" s="261">
        <v>0</v>
      </c>
      <c r="E348" s="261">
        <v>0</v>
      </c>
      <c r="F348" s="261">
        <v>5</v>
      </c>
      <c r="G348" s="261">
        <v>0</v>
      </c>
      <c r="H348" s="261">
        <v>0</v>
      </c>
      <c r="I348" s="261">
        <v>0</v>
      </c>
      <c r="J348" s="261">
        <v>0</v>
      </c>
      <c r="K348" s="262"/>
      <c r="L348" s="262"/>
      <c r="M348" s="262"/>
      <c r="N348" s="263"/>
      <c r="P348" s="238"/>
      <c r="Q348" s="238"/>
      <c r="R348" s="238"/>
      <c r="S348" s="238"/>
      <c r="T348" s="238"/>
      <c r="U348" s="238"/>
      <c r="V348" s="238"/>
      <c r="W348" s="238"/>
      <c r="X348" s="238"/>
      <c r="Z348" s="238"/>
      <c r="AA348" s="238"/>
      <c r="AB348" s="238"/>
      <c r="AC348" s="238"/>
      <c r="AD348" s="238"/>
      <c r="AE348" s="238"/>
      <c r="AF348" s="238"/>
      <c r="AG348" s="238"/>
    </row>
    <row r="349" spans="2:33" x14ac:dyDescent="0.25">
      <c r="B349" s="264">
        <v>24</v>
      </c>
      <c r="C349" s="261">
        <v>47</v>
      </c>
      <c r="D349" s="261">
        <v>15</v>
      </c>
      <c r="E349" s="261">
        <v>0</v>
      </c>
      <c r="F349" s="261">
        <v>8</v>
      </c>
      <c r="G349" s="261">
        <v>0</v>
      </c>
      <c r="H349" s="261">
        <v>0</v>
      </c>
      <c r="I349" s="261">
        <v>0</v>
      </c>
      <c r="J349" s="261">
        <v>0</v>
      </c>
      <c r="K349" s="262"/>
      <c r="L349" s="262"/>
      <c r="M349" s="262"/>
      <c r="N349" s="263"/>
      <c r="P349" s="238"/>
      <c r="Q349" s="238"/>
      <c r="R349" s="238"/>
      <c r="S349" s="238"/>
      <c r="T349" s="238"/>
      <c r="U349" s="238"/>
      <c r="V349" s="238"/>
      <c r="W349" s="238"/>
      <c r="X349" s="238"/>
      <c r="Z349" s="238"/>
      <c r="AA349" s="238"/>
      <c r="AB349" s="238"/>
      <c r="AC349" s="238"/>
      <c r="AD349" s="238"/>
      <c r="AE349" s="238"/>
      <c r="AF349" s="238"/>
      <c r="AG349" s="238"/>
    </row>
    <row r="350" spans="2:33" x14ac:dyDescent="0.25">
      <c r="B350" s="264">
        <v>25</v>
      </c>
      <c r="C350" s="261">
        <v>14</v>
      </c>
      <c r="D350" s="261">
        <v>0</v>
      </c>
      <c r="E350" s="261">
        <v>0</v>
      </c>
      <c r="F350" s="261">
        <v>9</v>
      </c>
      <c r="G350" s="261">
        <v>0</v>
      </c>
      <c r="H350" s="261">
        <v>0</v>
      </c>
      <c r="I350" s="261">
        <v>0</v>
      </c>
      <c r="J350" s="261">
        <v>0</v>
      </c>
      <c r="K350" s="262"/>
      <c r="L350" s="262"/>
      <c r="M350" s="262"/>
      <c r="N350" s="263"/>
      <c r="P350" s="238"/>
      <c r="Q350" s="238"/>
      <c r="R350" s="238"/>
      <c r="S350" s="238"/>
      <c r="T350" s="238"/>
      <c r="U350" s="238"/>
      <c r="V350" s="238"/>
      <c r="W350" s="238"/>
      <c r="X350" s="238"/>
      <c r="Z350" s="238"/>
      <c r="AA350" s="238"/>
      <c r="AB350" s="238"/>
      <c r="AC350" s="238"/>
      <c r="AD350" s="238"/>
      <c r="AE350" s="238"/>
      <c r="AF350" s="238"/>
      <c r="AG350" s="238"/>
    </row>
    <row r="351" spans="2:33" x14ac:dyDescent="0.25">
      <c r="B351" s="264">
        <v>26</v>
      </c>
      <c r="C351" s="261">
        <v>4</v>
      </c>
      <c r="D351" s="261">
        <v>7</v>
      </c>
      <c r="E351" s="261">
        <v>0</v>
      </c>
      <c r="F351" s="261">
        <v>0</v>
      </c>
      <c r="G351" s="261">
        <v>0</v>
      </c>
      <c r="H351" s="261">
        <v>37</v>
      </c>
      <c r="I351" s="261">
        <v>0</v>
      </c>
      <c r="J351" s="261">
        <v>0</v>
      </c>
      <c r="K351" s="262"/>
      <c r="L351" s="262"/>
      <c r="M351" s="262"/>
      <c r="N351" s="263"/>
      <c r="P351" s="238"/>
      <c r="Q351" s="238"/>
      <c r="R351" s="238"/>
      <c r="S351" s="238"/>
      <c r="T351" s="238"/>
      <c r="U351" s="238"/>
      <c r="V351" s="238"/>
      <c r="W351" s="238"/>
      <c r="X351" s="238"/>
      <c r="Z351" s="238"/>
      <c r="AA351" s="238"/>
      <c r="AB351" s="238"/>
      <c r="AC351" s="238"/>
      <c r="AD351" s="238"/>
      <c r="AE351" s="238"/>
      <c r="AF351" s="238"/>
      <c r="AG351" s="238"/>
    </row>
    <row r="352" spans="2:33" x14ac:dyDescent="0.25">
      <c r="B352" s="264">
        <v>27</v>
      </c>
      <c r="C352" s="261">
        <v>40</v>
      </c>
      <c r="D352" s="261">
        <v>0</v>
      </c>
      <c r="E352" s="261">
        <v>0</v>
      </c>
      <c r="F352" s="261">
        <v>0</v>
      </c>
      <c r="G352" s="261">
        <v>0</v>
      </c>
      <c r="H352" s="261">
        <v>0</v>
      </c>
      <c r="I352" s="261">
        <v>0</v>
      </c>
      <c r="J352" s="261">
        <v>0</v>
      </c>
      <c r="K352" s="262"/>
      <c r="L352" s="262"/>
      <c r="M352" s="262"/>
      <c r="N352" s="263"/>
      <c r="P352" s="238"/>
      <c r="Q352" s="238"/>
      <c r="R352" s="238"/>
      <c r="S352" s="238"/>
      <c r="T352" s="238"/>
      <c r="U352" s="238"/>
      <c r="V352" s="238"/>
      <c r="W352" s="238"/>
      <c r="X352" s="238"/>
      <c r="Z352" s="238"/>
      <c r="AA352" s="238"/>
      <c r="AB352" s="238"/>
      <c r="AC352" s="238"/>
      <c r="AD352" s="238"/>
      <c r="AE352" s="238"/>
      <c r="AF352" s="238"/>
      <c r="AG352" s="238"/>
    </row>
    <row r="353" spans="2:33" x14ac:dyDescent="0.25">
      <c r="B353" s="264">
        <v>28</v>
      </c>
      <c r="C353" s="261">
        <v>8</v>
      </c>
      <c r="D353" s="261">
        <v>0</v>
      </c>
      <c r="E353" s="261">
        <v>0</v>
      </c>
      <c r="F353" s="261">
        <v>0</v>
      </c>
      <c r="G353" s="261">
        <v>0</v>
      </c>
      <c r="H353" s="261">
        <v>0</v>
      </c>
      <c r="I353" s="261">
        <v>0</v>
      </c>
      <c r="J353" s="261">
        <v>0</v>
      </c>
      <c r="K353" s="262"/>
      <c r="L353" s="262"/>
      <c r="M353" s="262"/>
      <c r="N353" s="263"/>
      <c r="P353" s="238"/>
      <c r="Q353" s="238"/>
      <c r="R353" s="238"/>
      <c r="S353" s="238"/>
      <c r="T353" s="238"/>
      <c r="U353" s="238"/>
      <c r="V353" s="238"/>
      <c r="W353" s="238"/>
      <c r="X353" s="238"/>
      <c r="Z353" s="238"/>
      <c r="AA353" s="238"/>
      <c r="AB353" s="238"/>
      <c r="AC353" s="238"/>
      <c r="AD353" s="238"/>
      <c r="AE353" s="238"/>
      <c r="AF353" s="238"/>
      <c r="AG353" s="238"/>
    </row>
    <row r="354" spans="2:33" x14ac:dyDescent="0.25">
      <c r="B354" s="264">
        <v>29</v>
      </c>
      <c r="C354" s="261">
        <v>0</v>
      </c>
      <c r="D354" s="261"/>
      <c r="E354" s="261">
        <v>0</v>
      </c>
      <c r="F354" s="261">
        <v>0</v>
      </c>
      <c r="G354" s="261">
        <v>0</v>
      </c>
      <c r="H354" s="261">
        <v>0</v>
      </c>
      <c r="I354" s="261">
        <v>0</v>
      </c>
      <c r="J354" s="261">
        <v>0</v>
      </c>
      <c r="K354" s="262"/>
      <c r="L354" s="262"/>
      <c r="M354" s="262"/>
      <c r="N354" s="263"/>
      <c r="P354" s="238"/>
      <c r="Q354" s="238"/>
      <c r="R354" s="238"/>
      <c r="S354" s="238"/>
      <c r="T354" s="238"/>
      <c r="U354" s="238"/>
      <c r="V354" s="238"/>
      <c r="W354" s="238"/>
      <c r="X354" s="238"/>
      <c r="Z354" s="238"/>
      <c r="AA354" s="238"/>
      <c r="AB354" s="238"/>
      <c r="AC354" s="238"/>
      <c r="AD354" s="238"/>
      <c r="AE354" s="238"/>
      <c r="AF354" s="238"/>
      <c r="AG354" s="238"/>
    </row>
    <row r="355" spans="2:33" x14ac:dyDescent="0.25">
      <c r="B355" s="264">
        <v>30</v>
      </c>
      <c r="C355" s="261">
        <v>6</v>
      </c>
      <c r="D355" s="261"/>
      <c r="E355" s="261">
        <v>0</v>
      </c>
      <c r="F355" s="261">
        <v>0</v>
      </c>
      <c r="G355" s="261">
        <v>0</v>
      </c>
      <c r="H355" s="261">
        <v>0</v>
      </c>
      <c r="I355" s="261">
        <v>0</v>
      </c>
      <c r="J355" s="261">
        <v>0</v>
      </c>
      <c r="K355" s="262"/>
      <c r="L355" s="262"/>
      <c r="M355" s="262"/>
      <c r="N355" s="263"/>
      <c r="P355" s="238"/>
      <c r="Q355" s="238"/>
      <c r="R355" s="238"/>
      <c r="S355" s="238"/>
      <c r="T355" s="238"/>
      <c r="U355" s="238"/>
      <c r="V355" s="238"/>
      <c r="W355" s="238"/>
      <c r="X355" s="238"/>
      <c r="Z355" s="238"/>
      <c r="AA355" s="238"/>
      <c r="AB355" s="238"/>
      <c r="AC355" s="238"/>
      <c r="AD355" s="238"/>
      <c r="AE355" s="238"/>
      <c r="AF355" s="238"/>
      <c r="AG355" s="238"/>
    </row>
    <row r="356" spans="2:33" ht="15.75" thickBot="1" x14ac:dyDescent="0.3">
      <c r="B356" s="265">
        <v>31</v>
      </c>
      <c r="C356" s="266">
        <v>0</v>
      </c>
      <c r="D356" s="266"/>
      <c r="E356" s="266">
        <v>0</v>
      </c>
      <c r="F356" s="266"/>
      <c r="G356" s="266">
        <v>0</v>
      </c>
      <c r="H356" s="266"/>
      <c r="I356" s="266">
        <v>0</v>
      </c>
      <c r="J356" s="266">
        <v>0</v>
      </c>
      <c r="K356" s="267"/>
      <c r="L356" s="268"/>
      <c r="M356" s="267"/>
      <c r="N356" s="269"/>
      <c r="Q356" s="238"/>
      <c r="R356" s="238"/>
      <c r="S356" s="238"/>
      <c r="T356" s="238"/>
      <c r="U356" s="238"/>
      <c r="V356" s="238"/>
      <c r="W356" s="238"/>
      <c r="X356" s="238"/>
      <c r="Z356" s="238"/>
      <c r="AA356" s="238"/>
      <c r="AB356" s="238"/>
      <c r="AC356" s="238"/>
      <c r="AD356" s="238"/>
      <c r="AE356" s="238"/>
      <c r="AF356" s="238"/>
      <c r="AG356" s="238"/>
    </row>
    <row r="357" spans="2:33" x14ac:dyDescent="0.25">
      <c r="B357" s="5" t="s">
        <v>22</v>
      </c>
      <c r="C357" s="6">
        <f>SUM(C326:C356)</f>
        <v>397</v>
      </c>
      <c r="D357" s="105">
        <f t="shared" ref="D357:N357" si="234">SUM(D326:D356)</f>
        <v>451</v>
      </c>
      <c r="E357" s="105">
        <f t="shared" si="234"/>
        <v>129</v>
      </c>
      <c r="F357" s="105">
        <f t="shared" si="234"/>
        <v>95</v>
      </c>
      <c r="G357" s="105">
        <f t="shared" si="234"/>
        <v>11</v>
      </c>
      <c r="H357" s="105">
        <f t="shared" si="234"/>
        <v>58</v>
      </c>
      <c r="I357" s="105">
        <f t="shared" si="234"/>
        <v>0</v>
      </c>
      <c r="J357" s="105">
        <f t="shared" si="234"/>
        <v>0</v>
      </c>
      <c r="K357" s="105">
        <f t="shared" si="234"/>
        <v>0</v>
      </c>
      <c r="L357" s="105">
        <f t="shared" si="234"/>
        <v>0</v>
      </c>
      <c r="M357" s="105">
        <f t="shared" si="234"/>
        <v>0</v>
      </c>
      <c r="N357" s="106">
        <f t="shared" si="234"/>
        <v>0</v>
      </c>
    </row>
    <row r="358" spans="2:33" x14ac:dyDescent="0.25">
      <c r="B358" s="107" t="s">
        <v>23</v>
      </c>
      <c r="C358" s="102">
        <f>C357/$T$3</f>
        <v>39.700000000000003</v>
      </c>
      <c r="D358" s="101">
        <f t="shared" ref="D358:N358" si="235">D357/$T$3</f>
        <v>45.1</v>
      </c>
      <c r="E358" s="101">
        <f t="shared" si="235"/>
        <v>12.9</v>
      </c>
      <c r="F358" s="101">
        <f t="shared" si="235"/>
        <v>9.5</v>
      </c>
      <c r="G358" s="101">
        <f t="shared" si="235"/>
        <v>1.1000000000000001</v>
      </c>
      <c r="H358" s="101">
        <f t="shared" si="235"/>
        <v>5.8</v>
      </c>
      <c r="I358" s="101">
        <f t="shared" si="235"/>
        <v>0</v>
      </c>
      <c r="J358" s="101">
        <f t="shared" si="235"/>
        <v>0</v>
      </c>
      <c r="K358" s="101">
        <f t="shared" si="235"/>
        <v>0</v>
      </c>
      <c r="L358" s="101">
        <f t="shared" si="235"/>
        <v>0</v>
      </c>
      <c r="M358" s="101">
        <f t="shared" si="235"/>
        <v>0</v>
      </c>
      <c r="N358" s="108">
        <f t="shared" si="235"/>
        <v>0</v>
      </c>
      <c r="P358" s="234"/>
      <c r="Q358" s="234"/>
      <c r="R358" s="234"/>
      <c r="S358" s="234"/>
      <c r="T358" s="234"/>
      <c r="U358" s="234"/>
      <c r="V358" s="234"/>
      <c r="W358" s="234"/>
      <c r="X358" s="234"/>
      <c r="Y358" s="234"/>
      <c r="Z358" s="234"/>
      <c r="AA358" s="234"/>
    </row>
    <row r="359" spans="2:33" x14ac:dyDescent="0.25">
      <c r="B359" s="107" t="s">
        <v>18</v>
      </c>
      <c r="C359" s="109">
        <f>$T$4*((C358)^$T$5)</f>
        <v>330.17741486337235</v>
      </c>
      <c r="D359" s="110">
        <f t="shared" ref="D359:N359" si="236">$T$4*((D358)^$T$5)</f>
        <v>392.71037102877858</v>
      </c>
      <c r="E359" s="110">
        <f t="shared" si="236"/>
        <v>71.580426163661159</v>
      </c>
      <c r="F359" s="110">
        <f t="shared" si="236"/>
        <v>47.216781121236764</v>
      </c>
      <c r="G359" s="110">
        <f t="shared" si="236"/>
        <v>2.515859161345003</v>
      </c>
      <c r="H359" s="110">
        <f t="shared" si="236"/>
        <v>24.13539133502395</v>
      </c>
      <c r="I359" s="110">
        <f t="shared" si="236"/>
        <v>0</v>
      </c>
      <c r="J359" s="110">
        <f t="shared" si="236"/>
        <v>0</v>
      </c>
      <c r="K359" s="110">
        <f t="shared" si="236"/>
        <v>0</v>
      </c>
      <c r="L359" s="110">
        <f t="shared" si="236"/>
        <v>0</v>
      </c>
      <c r="M359" s="110">
        <f t="shared" si="236"/>
        <v>0</v>
      </c>
      <c r="N359" s="111">
        <f t="shared" si="236"/>
        <v>0</v>
      </c>
      <c r="P359" s="234"/>
      <c r="Q359" s="234"/>
      <c r="R359" s="234"/>
      <c r="S359" s="234"/>
      <c r="T359" s="234"/>
      <c r="U359" s="234"/>
      <c r="V359" s="234"/>
      <c r="W359" s="234"/>
      <c r="X359" s="234"/>
      <c r="Y359" s="234"/>
      <c r="Z359" s="234"/>
      <c r="AA359" s="234"/>
    </row>
    <row r="360" spans="2:33" ht="15.75" thickBot="1" x14ac:dyDescent="0.3">
      <c r="B360" s="112" t="s">
        <v>19</v>
      </c>
      <c r="C360" s="341">
        <f>SUM(C359:N359)</f>
        <v>868.33624367341793</v>
      </c>
      <c r="D360" s="341"/>
      <c r="E360" s="341"/>
      <c r="F360" s="341"/>
      <c r="G360" s="341"/>
      <c r="H360" s="341"/>
      <c r="I360" s="341"/>
      <c r="J360" s="341"/>
      <c r="K360" s="341"/>
      <c r="L360" s="341"/>
      <c r="M360" s="341"/>
      <c r="N360" s="342"/>
      <c r="P360" s="236"/>
      <c r="Q360" s="236"/>
      <c r="R360" s="236"/>
      <c r="S360" s="236"/>
      <c r="T360" s="236"/>
      <c r="U360" s="236"/>
      <c r="V360" s="236"/>
      <c r="W360" s="236"/>
      <c r="X360" s="236"/>
      <c r="Y360" s="236"/>
      <c r="Z360" s="236"/>
      <c r="AA360" s="236"/>
    </row>
    <row r="361" spans="2:33" x14ac:dyDescent="0.25"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</row>
    <row r="363" spans="2:33" ht="15.75" thickBot="1" x14ac:dyDescent="0.3">
      <c r="B363" s="235" t="s">
        <v>139</v>
      </c>
    </row>
    <row r="364" spans="2:33" ht="15.75" thickBot="1" x14ac:dyDescent="0.3">
      <c r="B364" s="343" t="s">
        <v>0</v>
      </c>
      <c r="C364" s="344" t="s">
        <v>259</v>
      </c>
      <c r="D364" s="345"/>
      <c r="E364" s="345"/>
      <c r="F364" s="345"/>
      <c r="G364" s="345"/>
      <c r="H364" s="345"/>
      <c r="I364" s="345"/>
      <c r="J364" s="345"/>
      <c r="K364" s="345"/>
      <c r="L364" s="345"/>
      <c r="M364" s="345"/>
      <c r="N364" s="346"/>
    </row>
    <row r="365" spans="2:33" ht="15.75" thickBot="1" x14ac:dyDescent="0.3">
      <c r="B365" s="337"/>
      <c r="C365" s="257" t="s">
        <v>137</v>
      </c>
      <c r="D365" s="258" t="s">
        <v>2</v>
      </c>
      <c r="E365" s="258" t="s">
        <v>3</v>
      </c>
      <c r="F365" s="258" t="s">
        <v>4</v>
      </c>
      <c r="G365" s="258" t="s">
        <v>5</v>
      </c>
      <c r="H365" s="258" t="s">
        <v>6</v>
      </c>
      <c r="I365" s="258" t="s">
        <v>8</v>
      </c>
      <c r="J365" s="258" t="s">
        <v>9</v>
      </c>
      <c r="K365" s="258" t="s">
        <v>10</v>
      </c>
      <c r="L365" s="258" t="s">
        <v>11</v>
      </c>
      <c r="M365" s="258" t="s">
        <v>138</v>
      </c>
      <c r="N365" s="259" t="s">
        <v>13</v>
      </c>
    </row>
    <row r="366" spans="2:33" x14ac:dyDescent="0.25">
      <c r="B366" s="260">
        <v>1</v>
      </c>
      <c r="C366" s="270">
        <v>18</v>
      </c>
      <c r="D366" s="271">
        <v>0</v>
      </c>
      <c r="E366" s="271">
        <v>0</v>
      </c>
      <c r="F366" s="271">
        <v>0</v>
      </c>
      <c r="G366" s="271">
        <v>30</v>
      </c>
      <c r="H366" s="271">
        <v>0</v>
      </c>
      <c r="I366" s="271">
        <v>0</v>
      </c>
      <c r="J366" s="271">
        <v>0</v>
      </c>
      <c r="K366" s="272">
        <v>0</v>
      </c>
      <c r="L366" s="272">
        <v>0</v>
      </c>
      <c r="M366" s="272">
        <v>0</v>
      </c>
      <c r="N366" s="273">
        <v>0</v>
      </c>
    </row>
    <row r="367" spans="2:33" x14ac:dyDescent="0.25">
      <c r="B367" s="264">
        <v>2</v>
      </c>
      <c r="C367" s="274">
        <v>13</v>
      </c>
      <c r="D367" s="261">
        <v>0</v>
      </c>
      <c r="E367" s="261">
        <v>11</v>
      </c>
      <c r="F367" s="261">
        <v>32</v>
      </c>
      <c r="G367" s="261">
        <v>20</v>
      </c>
      <c r="H367" s="261">
        <v>0</v>
      </c>
      <c r="I367" s="261">
        <v>0</v>
      </c>
      <c r="J367" s="261">
        <v>0</v>
      </c>
      <c r="K367" s="275">
        <v>0</v>
      </c>
      <c r="L367" s="275">
        <v>0</v>
      </c>
      <c r="M367" s="275">
        <v>0</v>
      </c>
      <c r="N367" s="276">
        <v>0</v>
      </c>
    </row>
    <row r="368" spans="2:33" x14ac:dyDescent="0.25">
      <c r="B368" s="264">
        <v>3</v>
      </c>
      <c r="C368" s="274">
        <v>30</v>
      </c>
      <c r="D368" s="261">
        <v>0</v>
      </c>
      <c r="E368" s="261">
        <v>30</v>
      </c>
      <c r="F368" s="261">
        <v>0</v>
      </c>
      <c r="G368" s="261">
        <v>10</v>
      </c>
      <c r="H368" s="261">
        <v>0</v>
      </c>
      <c r="I368" s="261">
        <v>0</v>
      </c>
      <c r="J368" s="261">
        <v>0</v>
      </c>
      <c r="K368" s="275">
        <v>0</v>
      </c>
      <c r="L368" s="275">
        <v>0</v>
      </c>
      <c r="M368" s="275">
        <v>0</v>
      </c>
      <c r="N368" s="276">
        <v>0</v>
      </c>
    </row>
    <row r="369" spans="2:14" x14ac:dyDescent="0.25">
      <c r="B369" s="264">
        <v>4</v>
      </c>
      <c r="C369" s="274">
        <v>0</v>
      </c>
      <c r="D369" s="261">
        <v>0</v>
      </c>
      <c r="E369" s="261">
        <v>2</v>
      </c>
      <c r="F369" s="261">
        <v>29</v>
      </c>
      <c r="G369" s="261">
        <v>65</v>
      </c>
      <c r="H369" s="261">
        <v>0</v>
      </c>
      <c r="I369" s="261">
        <v>0</v>
      </c>
      <c r="J369" s="261">
        <v>0</v>
      </c>
      <c r="K369" s="275">
        <v>0</v>
      </c>
      <c r="L369" s="275">
        <v>0</v>
      </c>
      <c r="M369" s="275">
        <v>0</v>
      </c>
      <c r="N369" s="276">
        <v>0</v>
      </c>
    </row>
    <row r="370" spans="2:14" x14ac:dyDescent="0.25">
      <c r="B370" s="264">
        <v>5</v>
      </c>
      <c r="C370" s="274">
        <v>0</v>
      </c>
      <c r="D370" s="261">
        <v>0</v>
      </c>
      <c r="E370" s="261">
        <v>25</v>
      </c>
      <c r="F370" s="261">
        <v>0</v>
      </c>
      <c r="G370" s="261">
        <v>20</v>
      </c>
      <c r="H370" s="261">
        <v>0</v>
      </c>
      <c r="I370" s="261">
        <v>0</v>
      </c>
      <c r="J370" s="261">
        <v>0</v>
      </c>
      <c r="K370" s="275">
        <v>0</v>
      </c>
      <c r="L370" s="275">
        <v>0</v>
      </c>
      <c r="M370" s="275">
        <v>0</v>
      </c>
      <c r="N370" s="276">
        <v>0</v>
      </c>
    </row>
    <row r="371" spans="2:14" x14ac:dyDescent="0.25">
      <c r="B371" s="264">
        <v>6</v>
      </c>
      <c r="C371" s="274">
        <v>0</v>
      </c>
      <c r="D371" s="261">
        <v>42</v>
      </c>
      <c r="E371" s="261">
        <v>14</v>
      </c>
      <c r="F371" s="261">
        <v>20</v>
      </c>
      <c r="G371" s="261">
        <v>0</v>
      </c>
      <c r="H371" s="261">
        <v>0</v>
      </c>
      <c r="I371" s="261">
        <v>0</v>
      </c>
      <c r="J371" s="261">
        <v>0</v>
      </c>
      <c r="K371" s="275">
        <v>0</v>
      </c>
      <c r="L371" s="275">
        <v>0</v>
      </c>
      <c r="M371" s="275">
        <v>0</v>
      </c>
      <c r="N371" s="276">
        <v>0</v>
      </c>
    </row>
    <row r="372" spans="2:14" x14ac:dyDescent="0.25">
      <c r="B372" s="264">
        <v>7</v>
      </c>
      <c r="C372" s="274">
        <v>0</v>
      </c>
      <c r="D372" s="261">
        <v>0</v>
      </c>
      <c r="E372" s="261">
        <v>8</v>
      </c>
      <c r="F372" s="261">
        <v>41</v>
      </c>
      <c r="G372" s="261">
        <v>0</v>
      </c>
      <c r="H372" s="261">
        <v>0</v>
      </c>
      <c r="I372" s="261">
        <v>0</v>
      </c>
      <c r="J372" s="261">
        <v>0</v>
      </c>
      <c r="K372" s="275">
        <v>0</v>
      </c>
      <c r="L372" s="275">
        <v>0</v>
      </c>
      <c r="M372" s="275">
        <v>0</v>
      </c>
      <c r="N372" s="276">
        <v>0</v>
      </c>
    </row>
    <row r="373" spans="2:14" x14ac:dyDescent="0.25">
      <c r="B373" s="264">
        <v>8</v>
      </c>
      <c r="C373" s="274">
        <v>25</v>
      </c>
      <c r="D373" s="261">
        <v>18</v>
      </c>
      <c r="E373" s="261">
        <v>0</v>
      </c>
      <c r="F373" s="261">
        <v>0</v>
      </c>
      <c r="G373" s="261">
        <v>0</v>
      </c>
      <c r="H373" s="261">
        <v>0</v>
      </c>
      <c r="I373" s="261">
        <v>0</v>
      </c>
      <c r="J373" s="261">
        <v>0</v>
      </c>
      <c r="K373" s="275">
        <v>0</v>
      </c>
      <c r="L373" s="275">
        <v>0</v>
      </c>
      <c r="M373" s="275">
        <v>0</v>
      </c>
      <c r="N373" s="276">
        <v>0</v>
      </c>
    </row>
    <row r="374" spans="2:14" x14ac:dyDescent="0.25">
      <c r="B374" s="264">
        <v>9</v>
      </c>
      <c r="C374" s="274">
        <v>0</v>
      </c>
      <c r="D374" s="261">
        <v>0</v>
      </c>
      <c r="E374" s="261">
        <v>0</v>
      </c>
      <c r="F374" s="261">
        <v>0</v>
      </c>
      <c r="G374" s="261">
        <v>0</v>
      </c>
      <c r="H374" s="261">
        <v>0</v>
      </c>
      <c r="I374" s="261">
        <v>0</v>
      </c>
      <c r="J374" s="261">
        <v>0</v>
      </c>
      <c r="K374" s="275">
        <v>0</v>
      </c>
      <c r="L374" s="275">
        <v>0</v>
      </c>
      <c r="M374" s="275">
        <v>0</v>
      </c>
      <c r="N374" s="276">
        <v>15</v>
      </c>
    </row>
    <row r="375" spans="2:14" x14ac:dyDescent="0.25">
      <c r="B375" s="264">
        <v>10</v>
      </c>
      <c r="C375" s="274">
        <v>0</v>
      </c>
      <c r="D375" s="261">
        <v>0</v>
      </c>
      <c r="E375" s="261">
        <v>0</v>
      </c>
      <c r="F375" s="261">
        <v>9</v>
      </c>
      <c r="G375" s="261">
        <v>0</v>
      </c>
      <c r="H375" s="261">
        <v>0</v>
      </c>
      <c r="I375" s="261">
        <v>0</v>
      </c>
      <c r="J375" s="261">
        <v>0</v>
      </c>
      <c r="K375" s="275">
        <v>0</v>
      </c>
      <c r="L375" s="275">
        <v>0</v>
      </c>
      <c r="M375" s="275">
        <v>0</v>
      </c>
      <c r="N375" s="276">
        <v>10</v>
      </c>
    </row>
    <row r="376" spans="2:14" x14ac:dyDescent="0.25">
      <c r="B376" s="264">
        <v>11</v>
      </c>
      <c r="C376" s="274">
        <v>27</v>
      </c>
      <c r="D376" s="261">
        <v>12</v>
      </c>
      <c r="E376" s="261">
        <v>0</v>
      </c>
      <c r="F376" s="261">
        <v>0</v>
      </c>
      <c r="G376" s="261">
        <v>0</v>
      </c>
      <c r="H376" s="261">
        <v>0</v>
      </c>
      <c r="I376" s="261">
        <v>0</v>
      </c>
      <c r="J376" s="261">
        <v>0</v>
      </c>
      <c r="K376" s="275">
        <v>0</v>
      </c>
      <c r="L376" s="275">
        <v>0</v>
      </c>
      <c r="M376" s="275">
        <v>10</v>
      </c>
      <c r="N376" s="276">
        <v>0</v>
      </c>
    </row>
    <row r="377" spans="2:14" x14ac:dyDescent="0.25">
      <c r="B377" s="264">
        <v>12</v>
      </c>
      <c r="C377" s="274">
        <v>18</v>
      </c>
      <c r="D377" s="261">
        <v>0</v>
      </c>
      <c r="E377" s="261">
        <v>0</v>
      </c>
      <c r="F377" s="261">
        <v>0</v>
      </c>
      <c r="G377" s="261">
        <v>0</v>
      </c>
      <c r="H377" s="261">
        <v>0</v>
      </c>
      <c r="I377" s="261">
        <v>0</v>
      </c>
      <c r="J377" s="261">
        <v>0</v>
      </c>
      <c r="K377" s="275">
        <v>0</v>
      </c>
      <c r="L377" s="275">
        <v>0</v>
      </c>
      <c r="M377" s="275">
        <v>0</v>
      </c>
      <c r="N377" s="276">
        <v>20</v>
      </c>
    </row>
    <row r="378" spans="2:14" x14ac:dyDescent="0.25">
      <c r="B378" s="264">
        <v>13</v>
      </c>
      <c r="C378" s="274">
        <v>16</v>
      </c>
      <c r="D378" s="261">
        <v>18</v>
      </c>
      <c r="E378" s="261">
        <v>0</v>
      </c>
      <c r="F378" s="261">
        <v>0</v>
      </c>
      <c r="G378" s="261">
        <v>30</v>
      </c>
      <c r="H378" s="261">
        <v>0</v>
      </c>
      <c r="I378" s="261">
        <v>0</v>
      </c>
      <c r="J378" s="261">
        <v>0</v>
      </c>
      <c r="K378" s="275">
        <v>0</v>
      </c>
      <c r="L378" s="275">
        <v>0</v>
      </c>
      <c r="M378" s="275">
        <v>4</v>
      </c>
      <c r="N378" s="276">
        <v>0</v>
      </c>
    </row>
    <row r="379" spans="2:14" x14ac:dyDescent="0.25">
      <c r="B379" s="264">
        <v>14</v>
      </c>
      <c r="C379" s="274">
        <v>9</v>
      </c>
      <c r="D379" s="261">
        <v>0</v>
      </c>
      <c r="E379" s="261">
        <v>5</v>
      </c>
      <c r="F379" s="261">
        <v>0</v>
      </c>
      <c r="G379" s="261">
        <v>25</v>
      </c>
      <c r="H379" s="261">
        <v>0</v>
      </c>
      <c r="I379" s="261">
        <v>0</v>
      </c>
      <c r="J379" s="261">
        <v>0</v>
      </c>
      <c r="K379" s="275">
        <v>0</v>
      </c>
      <c r="L379" s="275">
        <v>0</v>
      </c>
      <c r="M379" s="275">
        <v>0</v>
      </c>
      <c r="N379" s="276">
        <v>12</v>
      </c>
    </row>
    <row r="380" spans="2:14" x14ac:dyDescent="0.25">
      <c r="B380" s="264">
        <v>15</v>
      </c>
      <c r="C380" s="274">
        <v>0</v>
      </c>
      <c r="D380" s="261">
        <v>0</v>
      </c>
      <c r="E380" s="261">
        <v>0</v>
      </c>
      <c r="F380" s="261">
        <v>18</v>
      </c>
      <c r="G380" s="261">
        <v>10</v>
      </c>
      <c r="H380" s="261">
        <v>0</v>
      </c>
      <c r="I380" s="261">
        <v>0</v>
      </c>
      <c r="J380" s="261">
        <v>0</v>
      </c>
      <c r="K380" s="275">
        <v>0</v>
      </c>
      <c r="L380" s="275">
        <v>0</v>
      </c>
      <c r="M380" s="275">
        <v>0</v>
      </c>
      <c r="N380" s="276">
        <v>0</v>
      </c>
    </row>
    <row r="381" spans="2:14" x14ac:dyDescent="0.25">
      <c r="B381" s="264">
        <v>16</v>
      </c>
      <c r="C381" s="274">
        <v>45</v>
      </c>
      <c r="D381" s="261">
        <v>48</v>
      </c>
      <c r="E381" s="261">
        <v>25</v>
      </c>
      <c r="F381" s="261">
        <v>0</v>
      </c>
      <c r="G381" s="261">
        <v>0</v>
      </c>
      <c r="H381" s="261">
        <v>0</v>
      </c>
      <c r="I381" s="261">
        <v>0</v>
      </c>
      <c r="J381" s="261">
        <v>0</v>
      </c>
      <c r="K381" s="275">
        <v>0</v>
      </c>
      <c r="L381" s="275">
        <v>0</v>
      </c>
      <c r="M381" s="275">
        <v>0</v>
      </c>
      <c r="N381" s="276">
        <v>0</v>
      </c>
    </row>
    <row r="382" spans="2:14" x14ac:dyDescent="0.25">
      <c r="B382" s="264">
        <v>17</v>
      </c>
      <c r="C382" s="274">
        <v>5</v>
      </c>
      <c r="D382" s="261">
        <v>120</v>
      </c>
      <c r="E382" s="261">
        <v>0</v>
      </c>
      <c r="F382" s="261">
        <v>0</v>
      </c>
      <c r="G382" s="261">
        <v>0</v>
      </c>
      <c r="H382" s="261">
        <v>0</v>
      </c>
      <c r="I382" s="261">
        <v>0</v>
      </c>
      <c r="J382" s="261">
        <v>0</v>
      </c>
      <c r="K382" s="275">
        <v>0</v>
      </c>
      <c r="L382" s="275">
        <v>0</v>
      </c>
      <c r="M382" s="275">
        <v>0</v>
      </c>
      <c r="N382" s="276">
        <v>58</v>
      </c>
    </row>
    <row r="383" spans="2:14" x14ac:dyDescent="0.25">
      <c r="B383" s="264">
        <v>18</v>
      </c>
      <c r="C383" s="274">
        <v>40</v>
      </c>
      <c r="D383" s="261">
        <v>0</v>
      </c>
      <c r="E383" s="261">
        <v>9</v>
      </c>
      <c r="F383" s="261">
        <v>23</v>
      </c>
      <c r="G383" s="261">
        <v>0</v>
      </c>
      <c r="H383" s="261">
        <v>0</v>
      </c>
      <c r="I383" s="261">
        <v>0</v>
      </c>
      <c r="J383" s="261">
        <v>0</v>
      </c>
      <c r="K383" s="275">
        <v>0</v>
      </c>
      <c r="L383" s="275">
        <v>0</v>
      </c>
      <c r="M383" s="275">
        <v>0</v>
      </c>
      <c r="N383" s="276">
        <v>0</v>
      </c>
    </row>
    <row r="384" spans="2:14" x14ac:dyDescent="0.25">
      <c r="B384" s="264">
        <v>19</v>
      </c>
      <c r="C384" s="274">
        <v>25</v>
      </c>
      <c r="D384" s="261">
        <v>10</v>
      </c>
      <c r="E384" s="261">
        <v>0</v>
      </c>
      <c r="F384" s="261">
        <v>0</v>
      </c>
      <c r="G384" s="261">
        <v>0</v>
      </c>
      <c r="H384" s="261">
        <v>0</v>
      </c>
      <c r="I384" s="261">
        <v>0</v>
      </c>
      <c r="J384" s="261">
        <v>0</v>
      </c>
      <c r="K384" s="275">
        <v>0</v>
      </c>
      <c r="L384" s="275">
        <v>0</v>
      </c>
      <c r="M384" s="275">
        <v>0</v>
      </c>
      <c r="N384" s="276">
        <v>0</v>
      </c>
    </row>
    <row r="385" spans="2:27" x14ac:dyDescent="0.25">
      <c r="B385" s="264">
        <v>20</v>
      </c>
      <c r="C385" s="274">
        <v>15</v>
      </c>
      <c r="D385" s="261">
        <v>0</v>
      </c>
      <c r="E385" s="261">
        <v>40</v>
      </c>
      <c r="F385" s="261">
        <v>0</v>
      </c>
      <c r="G385" s="261">
        <v>0</v>
      </c>
      <c r="H385" s="261">
        <v>0</v>
      </c>
      <c r="I385" s="261">
        <v>0</v>
      </c>
      <c r="J385" s="261">
        <v>0</v>
      </c>
      <c r="K385" s="275">
        <v>0</v>
      </c>
      <c r="L385" s="275">
        <v>0</v>
      </c>
      <c r="M385" s="275">
        <v>0</v>
      </c>
      <c r="N385" s="276">
        <v>10</v>
      </c>
    </row>
    <row r="386" spans="2:27" x14ac:dyDescent="0.25">
      <c r="B386" s="264">
        <v>21</v>
      </c>
      <c r="C386" s="274">
        <v>10</v>
      </c>
      <c r="D386" s="261">
        <v>0</v>
      </c>
      <c r="E386" s="261">
        <v>10</v>
      </c>
      <c r="F386" s="261">
        <v>0</v>
      </c>
      <c r="G386" s="261">
        <v>0</v>
      </c>
      <c r="H386" s="261">
        <v>0</v>
      </c>
      <c r="I386" s="261">
        <v>0</v>
      </c>
      <c r="J386" s="261">
        <v>0</v>
      </c>
      <c r="K386" s="275">
        <v>0</v>
      </c>
      <c r="L386" s="275">
        <v>0</v>
      </c>
      <c r="M386" s="275">
        <v>0</v>
      </c>
      <c r="N386" s="276">
        <v>0</v>
      </c>
    </row>
    <row r="387" spans="2:27" x14ac:dyDescent="0.25">
      <c r="B387" s="264">
        <v>22</v>
      </c>
      <c r="C387" s="274">
        <v>102</v>
      </c>
      <c r="D387" s="261">
        <v>0</v>
      </c>
      <c r="E387" s="261">
        <v>15</v>
      </c>
      <c r="F387" s="261">
        <v>0</v>
      </c>
      <c r="G387" s="261">
        <v>10</v>
      </c>
      <c r="H387" s="261">
        <v>0</v>
      </c>
      <c r="I387" s="261">
        <v>0</v>
      </c>
      <c r="J387" s="261">
        <v>0</v>
      </c>
      <c r="K387" s="275">
        <v>0</v>
      </c>
      <c r="L387" s="275">
        <v>0</v>
      </c>
      <c r="M387" s="275">
        <v>0</v>
      </c>
      <c r="N387" s="276">
        <v>0</v>
      </c>
    </row>
    <row r="388" spans="2:27" x14ac:dyDescent="0.25">
      <c r="B388" s="264">
        <v>23</v>
      </c>
      <c r="C388" s="274">
        <v>41</v>
      </c>
      <c r="D388" s="261">
        <v>0</v>
      </c>
      <c r="E388" s="261">
        <v>20</v>
      </c>
      <c r="F388" s="261">
        <v>24</v>
      </c>
      <c r="G388" s="261">
        <v>0</v>
      </c>
      <c r="H388" s="261">
        <v>0</v>
      </c>
      <c r="I388" s="261">
        <v>0</v>
      </c>
      <c r="J388" s="261">
        <v>0</v>
      </c>
      <c r="K388" s="275">
        <v>0</v>
      </c>
      <c r="L388" s="275">
        <v>0</v>
      </c>
      <c r="M388" s="275">
        <v>0</v>
      </c>
      <c r="N388" s="276">
        <v>0</v>
      </c>
    </row>
    <row r="389" spans="2:27" x14ac:dyDescent="0.25">
      <c r="B389" s="264">
        <v>24</v>
      </c>
      <c r="C389" s="274">
        <v>43</v>
      </c>
      <c r="D389" s="261">
        <v>0</v>
      </c>
      <c r="E389" s="261">
        <v>60</v>
      </c>
      <c r="F389" s="261">
        <v>48</v>
      </c>
      <c r="G389" s="261">
        <v>0</v>
      </c>
      <c r="H389" s="261">
        <v>0</v>
      </c>
      <c r="I389" s="261">
        <v>0</v>
      </c>
      <c r="J389" s="261">
        <v>0</v>
      </c>
      <c r="K389" s="275">
        <v>0</v>
      </c>
      <c r="L389" s="275">
        <v>0</v>
      </c>
      <c r="M389" s="275">
        <v>0</v>
      </c>
      <c r="N389" s="276">
        <v>0</v>
      </c>
    </row>
    <row r="390" spans="2:27" x14ac:dyDescent="0.25">
      <c r="B390" s="264">
        <v>25</v>
      </c>
      <c r="C390" s="274">
        <v>47</v>
      </c>
      <c r="D390" s="261">
        <v>0</v>
      </c>
      <c r="E390" s="261">
        <v>0</v>
      </c>
      <c r="F390" s="261">
        <v>0</v>
      </c>
      <c r="G390" s="261">
        <v>0</v>
      </c>
      <c r="H390" s="261">
        <v>0</v>
      </c>
      <c r="I390" s="261">
        <v>0</v>
      </c>
      <c r="J390" s="261">
        <v>0</v>
      </c>
      <c r="K390" s="275">
        <v>0</v>
      </c>
      <c r="L390" s="275">
        <v>0</v>
      </c>
      <c r="M390" s="275">
        <v>0</v>
      </c>
      <c r="N390" s="276">
        <v>12</v>
      </c>
    </row>
    <row r="391" spans="2:27" x14ac:dyDescent="0.25">
      <c r="B391" s="264">
        <v>26</v>
      </c>
      <c r="C391" s="274">
        <v>13</v>
      </c>
      <c r="D391" s="261">
        <v>0</v>
      </c>
      <c r="E391" s="261">
        <v>13</v>
      </c>
      <c r="F391" s="261">
        <v>14</v>
      </c>
      <c r="G391" s="261">
        <v>0</v>
      </c>
      <c r="H391" s="261">
        <v>0</v>
      </c>
      <c r="I391" s="261">
        <v>0</v>
      </c>
      <c r="J391" s="261">
        <v>0</v>
      </c>
      <c r="K391" s="275">
        <v>0</v>
      </c>
      <c r="L391" s="275">
        <v>0</v>
      </c>
      <c r="M391" s="275">
        <v>0</v>
      </c>
      <c r="N391" s="276">
        <v>0</v>
      </c>
    </row>
    <row r="392" spans="2:27" x14ac:dyDescent="0.25">
      <c r="B392" s="264">
        <v>27</v>
      </c>
      <c r="C392" s="274">
        <v>14</v>
      </c>
      <c r="D392" s="261">
        <v>0</v>
      </c>
      <c r="E392" s="261">
        <v>9</v>
      </c>
      <c r="F392" s="261">
        <v>0</v>
      </c>
      <c r="G392" s="261">
        <v>25</v>
      </c>
      <c r="H392" s="261">
        <v>0</v>
      </c>
      <c r="I392" s="261">
        <v>0</v>
      </c>
      <c r="J392" s="261">
        <v>0</v>
      </c>
      <c r="K392" s="275">
        <v>0</v>
      </c>
      <c r="L392" s="275">
        <v>0</v>
      </c>
      <c r="M392" s="275">
        <v>0</v>
      </c>
      <c r="N392" s="276">
        <v>0</v>
      </c>
    </row>
    <row r="393" spans="2:27" x14ac:dyDescent="0.25">
      <c r="B393" s="264">
        <v>28</v>
      </c>
      <c r="C393" s="274">
        <v>0</v>
      </c>
      <c r="D393" s="261">
        <v>0</v>
      </c>
      <c r="E393" s="261">
        <v>0</v>
      </c>
      <c r="F393" s="261">
        <v>0</v>
      </c>
      <c r="G393" s="261">
        <v>0</v>
      </c>
      <c r="H393" s="261">
        <v>0</v>
      </c>
      <c r="I393" s="261">
        <v>0</v>
      </c>
      <c r="J393" s="261">
        <v>0</v>
      </c>
      <c r="K393" s="275">
        <v>0</v>
      </c>
      <c r="L393" s="275">
        <v>0</v>
      </c>
      <c r="M393" s="275">
        <v>0</v>
      </c>
      <c r="N393" s="276">
        <v>17</v>
      </c>
    </row>
    <row r="394" spans="2:27" x14ac:dyDescent="0.25">
      <c r="B394" s="264">
        <v>29</v>
      </c>
      <c r="C394" s="274">
        <v>0</v>
      </c>
      <c r="D394" s="261" t="s">
        <v>140</v>
      </c>
      <c r="E394" s="261">
        <v>15</v>
      </c>
      <c r="F394" s="261">
        <v>0</v>
      </c>
      <c r="G394" s="261">
        <v>25</v>
      </c>
      <c r="H394" s="261">
        <v>0</v>
      </c>
      <c r="I394" s="261">
        <v>0</v>
      </c>
      <c r="J394" s="261">
        <v>0</v>
      </c>
      <c r="K394" s="275">
        <v>0</v>
      </c>
      <c r="L394" s="275">
        <v>0</v>
      </c>
      <c r="M394" s="275">
        <v>0</v>
      </c>
      <c r="N394" s="276">
        <v>0</v>
      </c>
    </row>
    <row r="395" spans="2:27" x14ac:dyDescent="0.25">
      <c r="B395" s="264">
        <v>30</v>
      </c>
      <c r="C395" s="274">
        <v>0</v>
      </c>
      <c r="D395" s="261" t="s">
        <v>140</v>
      </c>
      <c r="E395" s="261">
        <v>0</v>
      </c>
      <c r="F395" s="261">
        <v>0</v>
      </c>
      <c r="G395" s="261">
        <v>20</v>
      </c>
      <c r="H395" s="261">
        <v>0</v>
      </c>
      <c r="I395" s="261">
        <v>0</v>
      </c>
      <c r="J395" s="261">
        <v>0</v>
      </c>
      <c r="K395" s="275">
        <v>0</v>
      </c>
      <c r="L395" s="275">
        <v>0</v>
      </c>
      <c r="M395" s="275">
        <v>0</v>
      </c>
      <c r="N395" s="276">
        <v>14</v>
      </c>
    </row>
    <row r="396" spans="2:27" ht="15.75" thickBot="1" x14ac:dyDescent="0.3">
      <c r="B396" s="265">
        <v>31</v>
      </c>
      <c r="C396" s="277">
        <v>23</v>
      </c>
      <c r="D396" s="266" t="s">
        <v>140</v>
      </c>
      <c r="E396" s="266">
        <v>0</v>
      </c>
      <c r="F396" s="266" t="s">
        <v>140</v>
      </c>
      <c r="G396" s="266">
        <v>0</v>
      </c>
      <c r="H396" s="266" t="s">
        <v>140</v>
      </c>
      <c r="I396" s="266">
        <v>0</v>
      </c>
      <c r="J396" s="266">
        <v>0</v>
      </c>
      <c r="K396" s="278" t="s">
        <v>140</v>
      </c>
      <c r="L396" s="278">
        <v>0</v>
      </c>
      <c r="M396" s="278" t="s">
        <v>140</v>
      </c>
      <c r="N396" s="279">
        <v>0</v>
      </c>
    </row>
    <row r="397" spans="2:27" x14ac:dyDescent="0.25">
      <c r="B397" s="5" t="s">
        <v>22</v>
      </c>
      <c r="C397" s="6">
        <f>SUM(C366:C396)</f>
        <v>579</v>
      </c>
      <c r="D397" s="105">
        <f t="shared" ref="D397:N397" si="237">SUM(D366:D396)</f>
        <v>268</v>
      </c>
      <c r="E397" s="105">
        <f t="shared" si="237"/>
        <v>311</v>
      </c>
      <c r="F397" s="105">
        <f t="shared" si="237"/>
        <v>258</v>
      </c>
      <c r="G397" s="105">
        <f t="shared" si="237"/>
        <v>290</v>
      </c>
      <c r="H397" s="105">
        <f t="shared" si="237"/>
        <v>0</v>
      </c>
      <c r="I397" s="105">
        <f t="shared" si="237"/>
        <v>0</v>
      </c>
      <c r="J397" s="105">
        <f t="shared" si="237"/>
        <v>0</v>
      </c>
      <c r="K397" s="105">
        <f t="shared" si="237"/>
        <v>0</v>
      </c>
      <c r="L397" s="105">
        <f t="shared" si="237"/>
        <v>0</v>
      </c>
      <c r="M397" s="105">
        <f t="shared" si="237"/>
        <v>14</v>
      </c>
      <c r="N397" s="106">
        <f t="shared" si="237"/>
        <v>168</v>
      </c>
    </row>
    <row r="398" spans="2:27" x14ac:dyDescent="0.25">
      <c r="B398" s="107" t="s">
        <v>23</v>
      </c>
      <c r="C398" s="102">
        <f>C397/$T$3</f>
        <v>57.9</v>
      </c>
      <c r="D398" s="101">
        <f t="shared" ref="D398:N398" si="238">D397/$T$3</f>
        <v>26.8</v>
      </c>
      <c r="E398" s="101">
        <f t="shared" si="238"/>
        <v>31.1</v>
      </c>
      <c r="F398" s="101">
        <f t="shared" si="238"/>
        <v>25.8</v>
      </c>
      <c r="G398" s="101">
        <f t="shared" si="238"/>
        <v>29</v>
      </c>
      <c r="H398" s="101">
        <f t="shared" si="238"/>
        <v>0</v>
      </c>
      <c r="I398" s="101">
        <f t="shared" si="238"/>
        <v>0</v>
      </c>
      <c r="J398" s="101">
        <f t="shared" si="238"/>
        <v>0</v>
      </c>
      <c r="K398" s="101">
        <f t="shared" si="238"/>
        <v>0</v>
      </c>
      <c r="L398" s="101">
        <f t="shared" si="238"/>
        <v>0</v>
      </c>
      <c r="M398" s="101">
        <f t="shared" si="238"/>
        <v>1.4</v>
      </c>
      <c r="N398" s="108">
        <f t="shared" si="238"/>
        <v>16.8</v>
      </c>
      <c r="P398" s="234"/>
      <c r="Q398" s="234"/>
      <c r="R398" s="234"/>
      <c r="S398" s="234"/>
      <c r="T398" s="234"/>
      <c r="U398" s="234"/>
      <c r="V398" s="234"/>
      <c r="W398" s="234"/>
      <c r="X398" s="234"/>
      <c r="Y398" s="234"/>
      <c r="Z398" s="234"/>
      <c r="AA398" s="234"/>
    </row>
    <row r="399" spans="2:27" x14ac:dyDescent="0.25">
      <c r="B399" s="107" t="s">
        <v>18</v>
      </c>
      <c r="C399" s="109">
        <f>$T$4*((C398)^$T$5)</f>
        <v>551.6137971436093</v>
      </c>
      <c r="D399" s="110">
        <f t="shared" ref="D399:N399" si="239">$T$4*((D398)^$T$5)</f>
        <v>193.4886941413036</v>
      </c>
      <c r="E399" s="110">
        <f t="shared" si="239"/>
        <v>236.88982262903011</v>
      </c>
      <c r="F399" s="110">
        <f t="shared" si="239"/>
        <v>183.7363453940641</v>
      </c>
      <c r="G399" s="110">
        <f t="shared" si="239"/>
        <v>215.40389437867026</v>
      </c>
      <c r="H399" s="110">
        <f t="shared" si="239"/>
        <v>0</v>
      </c>
      <c r="I399" s="110">
        <f t="shared" si="239"/>
        <v>0</v>
      </c>
      <c r="J399" s="110">
        <f t="shared" si="239"/>
        <v>0</v>
      </c>
      <c r="K399" s="110">
        <f t="shared" si="239"/>
        <v>0</v>
      </c>
      <c r="L399" s="110">
        <f t="shared" si="239"/>
        <v>0</v>
      </c>
      <c r="M399" s="110">
        <f t="shared" si="239"/>
        <v>3.4924194819886352</v>
      </c>
      <c r="N399" s="111">
        <f t="shared" si="239"/>
        <v>102.52101490692252</v>
      </c>
      <c r="P399" s="234"/>
      <c r="Q399" s="234"/>
      <c r="R399" s="234"/>
      <c r="S399" s="234"/>
      <c r="T399" s="234"/>
      <c r="U399" s="234"/>
      <c r="V399" s="234"/>
      <c r="W399" s="234"/>
      <c r="X399" s="234"/>
      <c r="Y399" s="234"/>
      <c r="Z399" s="234"/>
      <c r="AA399" s="234"/>
    </row>
    <row r="400" spans="2:27" ht="15.75" thickBot="1" x14ac:dyDescent="0.3">
      <c r="B400" s="112" t="s">
        <v>19</v>
      </c>
      <c r="C400" s="333">
        <f>SUM(C399:N399)</f>
        <v>1487.1459880755885</v>
      </c>
      <c r="D400" s="334"/>
      <c r="E400" s="334"/>
      <c r="F400" s="334"/>
      <c r="G400" s="334"/>
      <c r="H400" s="334"/>
      <c r="I400" s="334"/>
      <c r="J400" s="334"/>
      <c r="K400" s="334"/>
      <c r="L400" s="334"/>
      <c r="M400" s="334"/>
      <c r="N400" s="335"/>
      <c r="P400" s="236"/>
      <c r="Q400" s="236"/>
      <c r="R400" s="236"/>
      <c r="S400" s="236"/>
      <c r="T400" s="236"/>
      <c r="U400" s="236"/>
      <c r="V400" s="236"/>
      <c r="W400" s="236"/>
      <c r="X400" s="236"/>
      <c r="Y400" s="236"/>
      <c r="Z400" s="236"/>
      <c r="AA400" s="236"/>
    </row>
    <row r="401" spans="16:27" x14ac:dyDescent="0.25"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</row>
  </sheetData>
  <mergeCells count="31">
    <mergeCell ref="C4:N4"/>
    <mergeCell ref="C40:N40"/>
    <mergeCell ref="B4:B5"/>
    <mergeCell ref="C84:N84"/>
    <mergeCell ref="C80:N80"/>
    <mergeCell ref="C44:N44"/>
    <mergeCell ref="B84:B85"/>
    <mergeCell ref="B44:B45"/>
    <mergeCell ref="C160:N160"/>
    <mergeCell ref="B164:B165"/>
    <mergeCell ref="C120:N120"/>
    <mergeCell ref="B124:B125"/>
    <mergeCell ref="C124:N124"/>
    <mergeCell ref="C204:N204"/>
    <mergeCell ref="B204:B205"/>
    <mergeCell ref="P204:P205"/>
    <mergeCell ref="C164:N164"/>
    <mergeCell ref="C200:N200"/>
    <mergeCell ref="C320:N320"/>
    <mergeCell ref="C280:N280"/>
    <mergeCell ref="B284:B285"/>
    <mergeCell ref="C284:N284"/>
    <mergeCell ref="C240:N240"/>
    <mergeCell ref="B244:B245"/>
    <mergeCell ref="C244:N244"/>
    <mergeCell ref="C400:N400"/>
    <mergeCell ref="B324:B325"/>
    <mergeCell ref="C324:N324"/>
    <mergeCell ref="C360:N360"/>
    <mergeCell ref="B364:B365"/>
    <mergeCell ref="C364:N364"/>
  </mergeCells>
  <conditionalFormatting sqref="K326:N356">
    <cfRule type="top10" dxfId="1" priority="3" rank="2"/>
    <cfRule type="cellIs" dxfId="0" priority="4" operator="greaterThan">
      <formula>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15</xdr:col>
                <xdr:colOff>9525</xdr:colOff>
                <xdr:row>2</xdr:row>
                <xdr:rowOff>161925</xdr:rowOff>
              </from>
              <to>
                <xdr:col>18</xdr:col>
                <xdr:colOff>333375</xdr:colOff>
                <xdr:row>6</xdr:row>
                <xdr:rowOff>180975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759C-0CD3-4B61-8374-1ED4539310FE}">
  <dimension ref="C3:H20"/>
  <sheetViews>
    <sheetView workbookViewId="0">
      <selection activeCell="E14" sqref="E14"/>
    </sheetView>
  </sheetViews>
  <sheetFormatPr defaultRowHeight="15" x14ac:dyDescent="0.25"/>
  <cols>
    <col min="3" max="3" width="10.5703125" customWidth="1"/>
    <col min="4" max="4" width="29.7109375" customWidth="1"/>
    <col min="5" max="5" width="15.140625" customWidth="1"/>
    <col min="6" max="6" width="16.42578125" customWidth="1"/>
    <col min="7" max="7" width="18.28515625" customWidth="1"/>
  </cols>
  <sheetData>
    <row r="3" spans="3:7" ht="15.75" x14ac:dyDescent="0.25">
      <c r="C3" s="121" t="s">
        <v>31</v>
      </c>
      <c r="D3" s="121"/>
    </row>
    <row r="4" spans="3:7" ht="15.75" x14ac:dyDescent="0.25">
      <c r="C4" s="121"/>
      <c r="D4" s="121"/>
    </row>
    <row r="5" spans="3:7" ht="15.75" x14ac:dyDescent="0.25">
      <c r="C5" s="359" t="s">
        <v>32</v>
      </c>
      <c r="D5" s="147" t="s">
        <v>33</v>
      </c>
      <c r="E5" s="73"/>
      <c r="F5" s="75"/>
    </row>
    <row r="6" spans="3:7" ht="15.75" x14ac:dyDescent="0.25">
      <c r="C6" s="360"/>
      <c r="D6" s="148" t="s">
        <v>35</v>
      </c>
      <c r="E6" s="73"/>
      <c r="F6" s="76"/>
    </row>
    <row r="7" spans="3:7" ht="15.75" x14ac:dyDescent="0.25">
      <c r="C7" s="361"/>
      <c r="D7" s="149" t="s">
        <v>34</v>
      </c>
      <c r="E7" s="73"/>
      <c r="F7" s="72"/>
      <c r="G7" s="2"/>
    </row>
    <row r="8" spans="3:7" ht="15.75" x14ac:dyDescent="0.25">
      <c r="C8" s="181">
        <v>2010</v>
      </c>
      <c r="D8" s="125">
        <f>MAX('curah hujan sta cengklik'!C6:N36)</f>
        <v>115</v>
      </c>
      <c r="E8" s="74"/>
      <c r="F8" s="71"/>
    </row>
    <row r="9" spans="3:7" ht="15.75" x14ac:dyDescent="0.25">
      <c r="C9" s="181">
        <v>2011</v>
      </c>
      <c r="D9" s="125">
        <f>MAX('curah hujan sta cengklik'!C46:N76)</f>
        <v>100</v>
      </c>
      <c r="E9" s="74"/>
      <c r="F9" s="71"/>
    </row>
    <row r="10" spans="3:7" ht="15.75" x14ac:dyDescent="0.25">
      <c r="C10" s="181">
        <v>2012</v>
      </c>
      <c r="D10" s="125">
        <f>MAX('curah hujan sta cengklik'!C86:N116)</f>
        <v>104</v>
      </c>
      <c r="E10" s="74"/>
      <c r="F10" s="71"/>
    </row>
    <row r="11" spans="3:7" ht="15.75" x14ac:dyDescent="0.25">
      <c r="C11" s="181">
        <v>2013</v>
      </c>
      <c r="D11" s="125">
        <f>MAX('curah hujan sta cengklik'!C126:N156)</f>
        <v>88</v>
      </c>
      <c r="E11" s="74"/>
      <c r="F11" s="71"/>
    </row>
    <row r="12" spans="3:7" ht="15.75" x14ac:dyDescent="0.25">
      <c r="C12" s="181">
        <v>2014</v>
      </c>
      <c r="D12" s="125">
        <f>MAX('curah hujan sta cengklik'!C166:N196)</f>
        <v>92</v>
      </c>
      <c r="E12" s="74"/>
      <c r="F12" s="71"/>
    </row>
    <row r="13" spans="3:7" ht="15.75" x14ac:dyDescent="0.25">
      <c r="C13" s="181">
        <v>2015</v>
      </c>
      <c r="D13" s="125">
        <f>MAX('curah hujan sta cengklik'!C206:N236)</f>
        <v>100</v>
      </c>
      <c r="E13" s="74"/>
      <c r="F13" s="71"/>
    </row>
    <row r="14" spans="3:7" ht="15.75" x14ac:dyDescent="0.25">
      <c r="C14" s="181">
        <v>2016</v>
      </c>
      <c r="D14" s="125">
        <f>MAX('curah hujan sta cengklik'!C246:N276)</f>
        <v>60</v>
      </c>
      <c r="E14" s="74"/>
      <c r="F14" s="71"/>
    </row>
    <row r="15" spans="3:7" ht="15.75" x14ac:dyDescent="0.25">
      <c r="C15" s="181">
        <v>2017</v>
      </c>
      <c r="D15" s="125">
        <f>MAX('curah hujan sta cengklik'!C286:N316)</f>
        <v>169</v>
      </c>
      <c r="E15" s="74"/>
      <c r="F15" s="71"/>
    </row>
    <row r="16" spans="3:7" ht="15.75" x14ac:dyDescent="0.25">
      <c r="C16" s="181">
        <v>2018</v>
      </c>
      <c r="D16" s="128">
        <f>MAX('curah hujan sta cengklik'!C326:N356)</f>
        <v>83</v>
      </c>
      <c r="E16" s="74"/>
      <c r="F16" s="71"/>
    </row>
    <row r="17" spans="3:8" ht="15.75" x14ac:dyDescent="0.25">
      <c r="C17" s="181">
        <v>2019</v>
      </c>
      <c r="D17" s="128">
        <f>MAX('curah hujan sta cengklik'!C366:N396)</f>
        <v>120</v>
      </c>
      <c r="E17" s="74"/>
      <c r="F17" s="71"/>
    </row>
    <row r="18" spans="3:8" x14ac:dyDescent="0.25">
      <c r="C18" s="13"/>
      <c r="D18" s="12"/>
      <c r="E18" s="10"/>
      <c r="F18" s="10"/>
      <c r="G18" s="11"/>
      <c r="H18" s="2"/>
    </row>
    <row r="19" spans="3:8" x14ac:dyDescent="0.25">
      <c r="C19" s="9"/>
      <c r="D19" s="3"/>
      <c r="E19" s="10"/>
      <c r="F19" s="10"/>
      <c r="G19" s="11"/>
    </row>
    <row r="20" spans="3:8" x14ac:dyDescent="0.25">
      <c r="C20" s="2"/>
      <c r="D20" s="2"/>
      <c r="E20" s="2"/>
      <c r="F20" s="2"/>
      <c r="G20" s="2"/>
    </row>
  </sheetData>
  <mergeCells count="1">
    <mergeCell ref="C5:C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BD48-55FC-4117-84CD-C7D94759108E}">
  <dimension ref="A2:BM36"/>
  <sheetViews>
    <sheetView topLeftCell="F4" zoomScaleNormal="100" workbookViewId="0">
      <selection activeCell="BE25" sqref="BE25:BL32"/>
    </sheetView>
  </sheetViews>
  <sheetFormatPr defaultRowHeight="15" x14ac:dyDescent="0.25"/>
  <cols>
    <col min="1" max="1" width="11.28515625" style="1" customWidth="1"/>
    <col min="2" max="4" width="9.140625" style="1"/>
    <col min="5" max="5" width="13.28515625" style="1" customWidth="1"/>
    <col min="6" max="7" width="9.140625" style="1"/>
    <col min="8" max="8" width="13.5703125" style="1" customWidth="1"/>
    <col min="9" max="9" width="16.28515625" style="1" customWidth="1"/>
    <col min="10" max="10" width="14.140625" style="1" customWidth="1"/>
    <col min="11" max="13" width="9.140625" style="1"/>
    <col min="14" max="14" width="10" style="1" customWidth="1"/>
    <col min="15" max="15" width="9.140625" style="1"/>
    <col min="16" max="16" width="21.85546875" style="1" customWidth="1"/>
    <col min="17" max="17" width="21.140625" style="1" customWidth="1"/>
    <col min="18" max="18" width="16.42578125" style="1" customWidth="1"/>
    <col min="19" max="19" width="13.140625" style="1" customWidth="1"/>
    <col min="20" max="23" width="9.140625" style="1"/>
    <col min="24" max="25" width="11.42578125" style="1" bestFit="1" customWidth="1"/>
    <col min="26" max="26" width="16.7109375" style="1" customWidth="1"/>
    <col min="27" max="27" width="18.7109375" style="1" customWidth="1"/>
    <col min="28" max="28" width="18.42578125" style="1" customWidth="1"/>
    <col min="29" max="30" width="9.140625" style="1"/>
    <col min="31" max="31" width="13.5703125" style="1" customWidth="1"/>
    <col min="32" max="34" width="9.140625" style="1"/>
    <col min="35" max="35" width="12" style="1" customWidth="1"/>
    <col min="36" max="36" width="10.5703125" style="1" customWidth="1"/>
    <col min="37" max="41" width="9.140625" style="1"/>
    <col min="42" max="42" width="9.7109375" style="1" bestFit="1" customWidth="1"/>
    <col min="43" max="56" width="9.140625" style="1"/>
    <col min="57" max="57" width="13.5703125" style="1" customWidth="1"/>
    <col min="58" max="61" width="9.140625" style="1"/>
    <col min="62" max="62" width="11.28515625" style="1" customWidth="1"/>
    <col min="63" max="63" width="9.140625" style="1"/>
    <col min="64" max="64" width="12.140625" style="1" customWidth="1"/>
    <col min="65" max="16384" width="9.140625" style="1"/>
  </cols>
  <sheetData>
    <row r="2" spans="1:63" x14ac:dyDescent="0.25">
      <c r="AI2" s="363" t="s">
        <v>152</v>
      </c>
      <c r="AJ2" s="363"/>
      <c r="AK2" s="363"/>
      <c r="AL2" s="363"/>
      <c r="AM2" s="363"/>
      <c r="AN2" s="363"/>
      <c r="AO2" s="363"/>
      <c r="AP2" s="363"/>
      <c r="AQ2" s="363"/>
    </row>
    <row r="4" spans="1:63" ht="19.5" thickBot="1" x14ac:dyDescent="0.3">
      <c r="C4" s="225" t="s">
        <v>36</v>
      </c>
      <c r="D4" s="225" t="s">
        <v>32</v>
      </c>
      <c r="E4" s="225" t="s">
        <v>277</v>
      </c>
      <c r="F4" s="225" t="s">
        <v>278</v>
      </c>
      <c r="G4" s="225" t="s">
        <v>279</v>
      </c>
      <c r="H4" s="226" t="s">
        <v>314</v>
      </c>
      <c r="I4" s="225" t="s">
        <v>280</v>
      </c>
      <c r="J4" s="225" t="s">
        <v>281</v>
      </c>
      <c r="P4" s="162" t="s">
        <v>56</v>
      </c>
      <c r="Q4" s="163" t="s">
        <v>57</v>
      </c>
      <c r="R4" s="164" t="s">
        <v>58</v>
      </c>
      <c r="S4" s="163" t="s">
        <v>59</v>
      </c>
      <c r="AI4" s="181" t="s">
        <v>153</v>
      </c>
      <c r="AJ4" s="181">
        <v>1.01</v>
      </c>
      <c r="AK4" s="181">
        <v>2</v>
      </c>
      <c r="AL4" s="181">
        <v>5</v>
      </c>
      <c r="AM4" s="181">
        <v>10</v>
      </c>
      <c r="AN4" s="181">
        <v>25</v>
      </c>
      <c r="AO4" s="181">
        <v>50</v>
      </c>
      <c r="AP4" s="181">
        <v>100</v>
      </c>
      <c r="AQ4" s="181">
        <v>200</v>
      </c>
    </row>
    <row r="5" spans="1:63" ht="21" customHeight="1" thickTop="1" x14ac:dyDescent="0.35">
      <c r="A5" s="280">
        <f>F5-$F$16</f>
        <v>-43.099999999999994</v>
      </c>
      <c r="B5" s="280">
        <f>A5^2</f>
        <v>1857.6099999999994</v>
      </c>
      <c r="C5" s="152">
        <v>1</v>
      </c>
      <c r="D5" s="152">
        <v>2010</v>
      </c>
      <c r="E5" s="154">
        <f>'hujan daerah'!D8</f>
        <v>115</v>
      </c>
      <c r="F5" s="154">
        <v>60</v>
      </c>
      <c r="G5" s="154">
        <f>F5^2</f>
        <v>3600</v>
      </c>
      <c r="H5" s="282">
        <f>(F5-$F$16)^2</f>
        <v>1857.6099999999994</v>
      </c>
      <c r="I5" s="155">
        <f t="shared" ref="I5:I14" si="0">(F5-$F$16)^3</f>
        <v>-80062.990999999965</v>
      </c>
      <c r="J5" s="156">
        <f t="shared" ref="J5:J14" si="1">(F5-$F$16)^4</f>
        <v>3450714.912099998</v>
      </c>
      <c r="P5" s="165" t="s">
        <v>60</v>
      </c>
      <c r="Q5" s="166" t="s">
        <v>282</v>
      </c>
      <c r="R5" s="167" t="s">
        <v>283</v>
      </c>
      <c r="S5" s="376" t="s">
        <v>61</v>
      </c>
      <c r="V5" s="176" t="s">
        <v>67</v>
      </c>
      <c r="W5" s="359" t="s">
        <v>68</v>
      </c>
      <c r="X5" s="359" t="s">
        <v>69</v>
      </c>
      <c r="Y5" s="365" t="s">
        <v>294</v>
      </c>
      <c r="Z5" s="359" t="s">
        <v>315</v>
      </c>
      <c r="AA5" s="359" t="s">
        <v>295</v>
      </c>
      <c r="AB5" s="176" t="s">
        <v>70</v>
      </c>
      <c r="AD5" s="35" t="s">
        <v>75</v>
      </c>
      <c r="AE5" s="35" t="s">
        <v>74</v>
      </c>
      <c r="AF5" t="s">
        <v>76</v>
      </c>
      <c r="AI5" s="181" t="s">
        <v>154</v>
      </c>
      <c r="AJ5" s="182">
        <f>AK9</f>
        <v>-2.245020004435589</v>
      </c>
      <c r="AK5" s="182">
        <f t="shared" ref="AK5:AQ5" si="2">AL9</f>
        <v>-1.8509188230142894E-2</v>
      </c>
      <c r="AL5" s="182">
        <f t="shared" si="2"/>
        <v>0.83543405441369634</v>
      </c>
      <c r="AM5" s="182">
        <f t="shared" si="2"/>
        <v>1.2928489183794554</v>
      </c>
      <c r="AN5" s="182">
        <f t="shared" si="2"/>
        <v>1.7881127007246695</v>
      </c>
      <c r="AO5" s="182">
        <f t="shared" si="2"/>
        <v>2.1119048617479645</v>
      </c>
      <c r="AP5" s="182">
        <f t="shared" si="2"/>
        <v>2.406791347035643</v>
      </c>
      <c r="AQ5" s="182">
        <f t="shared" si="2"/>
        <v>2.6787721565877054</v>
      </c>
      <c r="BE5" s="381" t="s">
        <v>206</v>
      </c>
      <c r="BF5" s="381"/>
      <c r="BG5"/>
      <c r="BH5"/>
      <c r="BI5"/>
      <c r="BJ5"/>
      <c r="BK5"/>
    </row>
    <row r="6" spans="1:63" ht="18.75" x14ac:dyDescent="0.35">
      <c r="A6" s="280">
        <f t="shared" ref="A6:A14" si="3">F6-$F$16</f>
        <v>-20.099999999999994</v>
      </c>
      <c r="B6" s="280">
        <f t="shared" ref="B6:B14" si="4">A6^2</f>
        <v>404.00999999999976</v>
      </c>
      <c r="C6" s="152">
        <v>2</v>
      </c>
      <c r="D6" s="152">
        <v>2011</v>
      </c>
      <c r="E6" s="154">
        <f>'hujan daerah'!D9</f>
        <v>100</v>
      </c>
      <c r="F6" s="154">
        <v>83</v>
      </c>
      <c r="G6" s="154">
        <f t="shared" ref="G6:G8" si="5">F6^2</f>
        <v>6889</v>
      </c>
      <c r="H6" s="282">
        <f t="shared" ref="H6:H14" si="6">(F6-$F$16)^2</f>
        <v>404.00999999999976</v>
      </c>
      <c r="I6" s="155">
        <f t="shared" si="0"/>
        <v>-8120.6009999999933</v>
      </c>
      <c r="J6" s="156">
        <f t="shared" si="1"/>
        <v>163224.08009999982</v>
      </c>
      <c r="L6" s="35" t="s">
        <v>44</v>
      </c>
      <c r="M6" s="36" t="s">
        <v>45</v>
      </c>
      <c r="N6" s="1">
        <f>F16</f>
        <v>103.1</v>
      </c>
      <c r="P6" s="168"/>
      <c r="Q6" s="169" t="s">
        <v>284</v>
      </c>
      <c r="R6" s="170" t="s">
        <v>285</v>
      </c>
      <c r="S6" s="377"/>
      <c r="V6" s="151" t="s">
        <v>71</v>
      </c>
      <c r="W6" s="361"/>
      <c r="X6" s="361"/>
      <c r="Y6" s="366"/>
      <c r="Z6" s="361"/>
      <c r="AA6" s="361"/>
      <c r="AB6" s="151" t="s">
        <v>296</v>
      </c>
      <c r="AD6"/>
      <c r="AE6" s="35"/>
      <c r="AF6"/>
      <c r="BE6" s="382" t="s">
        <v>223</v>
      </c>
      <c r="BF6" s="382"/>
      <c r="BG6" s="382"/>
      <c r="BH6" s="382"/>
      <c r="BI6" s="382"/>
      <c r="BJ6"/>
      <c r="BK6"/>
    </row>
    <row r="7" spans="1:63" ht="18.75" x14ac:dyDescent="0.35">
      <c r="A7" s="280">
        <f t="shared" si="3"/>
        <v>-15.099999999999994</v>
      </c>
      <c r="B7" s="280">
        <f t="shared" si="4"/>
        <v>228.00999999999982</v>
      </c>
      <c r="C7" s="152">
        <v>3</v>
      </c>
      <c r="D7" s="152">
        <v>2012</v>
      </c>
      <c r="E7" s="154">
        <f>'hujan daerah'!D10</f>
        <v>104</v>
      </c>
      <c r="F7" s="154">
        <v>88</v>
      </c>
      <c r="G7" s="154">
        <f t="shared" si="5"/>
        <v>7744</v>
      </c>
      <c r="H7" s="282">
        <f t="shared" si="6"/>
        <v>228.00999999999982</v>
      </c>
      <c r="I7" s="155">
        <f t="shared" si="0"/>
        <v>-3442.9509999999959</v>
      </c>
      <c r="J7" s="156">
        <f t="shared" si="1"/>
        <v>51988.560099999915</v>
      </c>
      <c r="L7"/>
      <c r="M7"/>
      <c r="P7" s="171" t="s">
        <v>62</v>
      </c>
      <c r="Q7" s="171" t="s">
        <v>286</v>
      </c>
      <c r="R7" s="172" t="s">
        <v>287</v>
      </c>
      <c r="S7" s="378" t="s">
        <v>61</v>
      </c>
      <c r="V7" s="150">
        <v>1</v>
      </c>
      <c r="W7" s="177">
        <f>F5</f>
        <v>60</v>
      </c>
      <c r="X7" s="178">
        <f>LOG(W7)</f>
        <v>1.7781512503836436</v>
      </c>
      <c r="Y7" s="179">
        <f>(X7)^2</f>
        <v>3.1618218692409155</v>
      </c>
      <c r="Z7" s="286">
        <f t="shared" ref="Z7:Z16" si="7">(X7-$X$18)^2</f>
        <v>4.8787376644566498E-2</v>
      </c>
      <c r="AA7" s="180">
        <f t="shared" ref="AA7:AA16" si="8">(X7-$X$18)^3</f>
        <v>-1.07760897377484E-2</v>
      </c>
      <c r="AB7" s="178">
        <f t="shared" ref="AB7:AB16" si="9">(V7/11)*100</f>
        <v>9.0909090909090917</v>
      </c>
      <c r="AD7" s="35" t="s">
        <v>46</v>
      </c>
      <c r="AE7" s="35" t="s">
        <v>47</v>
      </c>
      <c r="AF7" s="25">
        <f>SQRT(Z17/9)</f>
        <v>0.11658363203347465</v>
      </c>
      <c r="BE7" s="1" t="s">
        <v>320</v>
      </c>
    </row>
    <row r="8" spans="1:63" ht="19.5" thickBot="1" x14ac:dyDescent="0.4">
      <c r="A8" s="280">
        <f t="shared" si="3"/>
        <v>-11.099999999999994</v>
      </c>
      <c r="B8" s="280">
        <f t="shared" si="4"/>
        <v>123.20999999999988</v>
      </c>
      <c r="C8" s="152">
        <v>4</v>
      </c>
      <c r="D8" s="152">
        <v>2013</v>
      </c>
      <c r="E8" s="154">
        <f>'hujan daerah'!D11</f>
        <v>88</v>
      </c>
      <c r="F8" s="154">
        <v>92</v>
      </c>
      <c r="G8" s="154">
        <f t="shared" si="5"/>
        <v>8464</v>
      </c>
      <c r="H8" s="282">
        <f t="shared" si="6"/>
        <v>123.20999999999988</v>
      </c>
      <c r="I8" s="155">
        <f t="shared" si="0"/>
        <v>-1367.630999999998</v>
      </c>
      <c r="J8" s="156">
        <f t="shared" si="1"/>
        <v>15180.70409999997</v>
      </c>
      <c r="L8" s="35" t="s">
        <v>46</v>
      </c>
      <c r="M8" s="35" t="s">
        <v>47</v>
      </c>
      <c r="N8" s="38">
        <f>SQRT((H15)/9)</f>
        <v>28.680035642314749</v>
      </c>
      <c r="P8" s="168"/>
      <c r="Q8" s="169" t="s">
        <v>288</v>
      </c>
      <c r="R8" s="170" t="s">
        <v>289</v>
      </c>
      <c r="S8" s="377"/>
      <c r="V8" s="150">
        <v>2</v>
      </c>
      <c r="W8" s="177">
        <f t="shared" ref="W8:W16" si="10">F6</f>
        <v>83</v>
      </c>
      <c r="X8" s="178">
        <f t="shared" ref="X8:X16" si="11">LOG(W8)</f>
        <v>1.919078092376074</v>
      </c>
      <c r="Y8" s="179">
        <f t="shared" ref="Y8:Y16" si="12">(X8)^2</f>
        <v>3.6828607246377909</v>
      </c>
      <c r="Z8" s="287">
        <f t="shared" si="7"/>
        <v>6.3922911037037821E-3</v>
      </c>
      <c r="AA8" s="180">
        <f t="shared" si="8"/>
        <v>-5.1107521106484902E-4</v>
      </c>
      <c r="AB8" s="178">
        <f t="shared" si="9"/>
        <v>18.181818181818183</v>
      </c>
      <c r="AD8"/>
      <c r="AE8"/>
      <c r="AF8"/>
      <c r="BE8" s="1" t="s">
        <v>321</v>
      </c>
      <c r="BG8" s="1" t="s">
        <v>84</v>
      </c>
      <c r="BH8" s="1">
        <v>4.3</v>
      </c>
      <c r="BI8" s="67" t="s">
        <v>84</v>
      </c>
      <c r="BJ8" s="295">
        <v>5</v>
      </c>
    </row>
    <row r="9" spans="1:63" ht="19.5" thickTop="1" x14ac:dyDescent="0.35">
      <c r="A9" s="280">
        <f t="shared" si="3"/>
        <v>-3.0999999999999943</v>
      </c>
      <c r="B9" s="280">
        <f t="shared" si="4"/>
        <v>9.6099999999999639</v>
      </c>
      <c r="C9" s="152">
        <v>5</v>
      </c>
      <c r="D9" s="152">
        <v>2014</v>
      </c>
      <c r="E9" s="154">
        <f>'hujan daerah'!D12</f>
        <v>92</v>
      </c>
      <c r="F9" s="154">
        <v>100</v>
      </c>
      <c r="G9" s="154">
        <f t="shared" ref="G9:G14" si="13">F9^2</f>
        <v>10000</v>
      </c>
      <c r="H9" s="282">
        <f t="shared" si="6"/>
        <v>9.6099999999999639</v>
      </c>
      <c r="I9" s="155">
        <f t="shared" si="0"/>
        <v>-29.790999999999833</v>
      </c>
      <c r="J9" s="156">
        <f t="shared" si="1"/>
        <v>92.352099999999311</v>
      </c>
      <c r="L9"/>
      <c r="M9"/>
      <c r="P9" s="173" t="s">
        <v>63</v>
      </c>
      <c r="Q9" s="174" t="s">
        <v>290</v>
      </c>
      <c r="R9" s="167" t="s">
        <v>157</v>
      </c>
      <c r="S9" s="378" t="s">
        <v>61</v>
      </c>
      <c r="V9" s="150">
        <v>3</v>
      </c>
      <c r="W9" s="177">
        <f t="shared" si="10"/>
        <v>88</v>
      </c>
      <c r="X9" s="178">
        <f t="shared" si="11"/>
        <v>1.9444826721501687</v>
      </c>
      <c r="Y9" s="179">
        <f t="shared" si="12"/>
        <v>3.7810128622922603</v>
      </c>
      <c r="Z9" s="287">
        <f t="shared" si="7"/>
        <v>2.9753997668458551E-3</v>
      </c>
      <c r="AA9" s="180">
        <f t="shared" si="8"/>
        <v>-1.622998008646959E-4</v>
      </c>
      <c r="AB9" s="178">
        <f t="shared" si="9"/>
        <v>27.27272727272727</v>
      </c>
      <c r="AD9" s="35" t="s">
        <v>50</v>
      </c>
      <c r="AE9" s="35" t="s">
        <v>51</v>
      </c>
      <c r="AF9" s="42">
        <f>(10/(9*8*AF7^3))*AA17</f>
        <v>0.1094324264383931</v>
      </c>
      <c r="AI9" s="192" t="s">
        <v>298</v>
      </c>
      <c r="AJ9" s="182">
        <f>AF9</f>
        <v>0.1094324264383931</v>
      </c>
      <c r="AK9" s="193">
        <f t="shared" ref="AK9:AR9" si="14">AK11-(($AJ$11-$AJ$9)/($AJ$11-$AJ$10))*(AK11-AK10)</f>
        <v>-2.245020004435589</v>
      </c>
      <c r="AL9" s="193">
        <f t="shared" si="14"/>
        <v>-1.8509188230142894E-2</v>
      </c>
      <c r="AM9" s="193">
        <f t="shared" si="14"/>
        <v>0.83543405441369634</v>
      </c>
      <c r="AN9" s="193">
        <f t="shared" si="14"/>
        <v>1.2928489183794554</v>
      </c>
      <c r="AO9" s="193">
        <f t="shared" si="14"/>
        <v>1.7881127007246695</v>
      </c>
      <c r="AP9" s="193">
        <f t="shared" si="14"/>
        <v>2.1119048617479645</v>
      </c>
      <c r="AQ9" s="193">
        <f t="shared" si="14"/>
        <v>2.406791347035643</v>
      </c>
      <c r="AR9" s="194">
        <f t="shared" si="14"/>
        <v>2.6787721565877054</v>
      </c>
      <c r="AU9"/>
      <c r="BE9" t="s">
        <v>207</v>
      </c>
      <c r="BF9"/>
      <c r="BG9"/>
      <c r="BH9"/>
      <c r="BI9"/>
      <c r="BJ9"/>
      <c r="BK9"/>
    </row>
    <row r="10" spans="1:63" ht="18.75" x14ac:dyDescent="0.35">
      <c r="A10" s="280">
        <f t="shared" si="3"/>
        <v>-3.0999999999999943</v>
      </c>
      <c r="B10" s="280">
        <f t="shared" si="4"/>
        <v>9.6099999999999639</v>
      </c>
      <c r="C10" s="152">
        <v>6</v>
      </c>
      <c r="D10" s="152">
        <v>2015</v>
      </c>
      <c r="E10" s="154">
        <f>'hujan daerah'!D13</f>
        <v>100</v>
      </c>
      <c r="F10" s="157">
        <v>100</v>
      </c>
      <c r="G10" s="154">
        <f t="shared" si="13"/>
        <v>10000</v>
      </c>
      <c r="H10" s="282">
        <f t="shared" si="6"/>
        <v>9.6099999999999639</v>
      </c>
      <c r="I10" s="155">
        <f t="shared" si="0"/>
        <v>-29.790999999999833</v>
      </c>
      <c r="J10" s="156">
        <f t="shared" si="1"/>
        <v>92.352099999999311</v>
      </c>
      <c r="L10" s="35" t="s">
        <v>48</v>
      </c>
      <c r="M10" s="35" t="s">
        <v>49</v>
      </c>
      <c r="N10" s="39">
        <f>N8/N6</f>
        <v>0.27817687334931862</v>
      </c>
      <c r="P10" s="168"/>
      <c r="Q10" s="175" t="s">
        <v>291</v>
      </c>
      <c r="R10" s="170" t="s">
        <v>158</v>
      </c>
      <c r="S10" s="377"/>
      <c r="V10" s="150">
        <v>4</v>
      </c>
      <c r="W10" s="177">
        <f t="shared" si="10"/>
        <v>92</v>
      </c>
      <c r="X10" s="178">
        <f t="shared" si="11"/>
        <v>1.9637878273455553</v>
      </c>
      <c r="Y10" s="179">
        <f t="shared" si="12"/>
        <v>3.8564626308305767</v>
      </c>
      <c r="Z10" s="287">
        <f t="shared" si="7"/>
        <v>1.2420034916370314E-3</v>
      </c>
      <c r="AA10" s="180">
        <f t="shared" si="8"/>
        <v>-4.3770773882422767E-5</v>
      </c>
      <c r="AB10" s="178">
        <f t="shared" si="9"/>
        <v>36.363636363636367</v>
      </c>
      <c r="AI10" s="188" t="s">
        <v>293</v>
      </c>
      <c r="AJ10" s="178">
        <v>0.1</v>
      </c>
      <c r="AK10" s="189">
        <v>-2.2519999999999998</v>
      </c>
      <c r="AL10" s="190">
        <v>-1.7000000000000001E-2</v>
      </c>
      <c r="AM10" s="190">
        <v>0.83599999999999997</v>
      </c>
      <c r="AN10" s="190">
        <v>1.292</v>
      </c>
      <c r="AO10" s="190">
        <v>1.7849999999999999</v>
      </c>
      <c r="AP10" s="190">
        <v>2.1070000000000002</v>
      </c>
      <c r="AQ10" s="190">
        <v>2.4</v>
      </c>
      <c r="AR10" s="191">
        <v>2.67</v>
      </c>
      <c r="BE10" s="383" t="s">
        <v>208</v>
      </c>
      <c r="BF10" s="383"/>
      <c r="BG10" s="383"/>
      <c r="BH10" s="383"/>
      <c r="BI10" s="383"/>
      <c r="BJ10" s="383"/>
      <c r="BK10" s="383"/>
    </row>
    <row r="11" spans="1:63" ht="15.75" x14ac:dyDescent="0.25">
      <c r="A11" s="280">
        <f t="shared" si="3"/>
        <v>0.90000000000000568</v>
      </c>
      <c r="B11" s="280">
        <f t="shared" si="4"/>
        <v>0.81000000000001027</v>
      </c>
      <c r="C11" s="152">
        <v>7</v>
      </c>
      <c r="D11" s="152">
        <v>2016</v>
      </c>
      <c r="E11" s="154">
        <f>'hujan daerah'!D14</f>
        <v>60</v>
      </c>
      <c r="F11" s="157">
        <v>104</v>
      </c>
      <c r="G11" s="154">
        <f t="shared" si="13"/>
        <v>10816</v>
      </c>
      <c r="H11" s="282">
        <f t="shared" si="6"/>
        <v>0.81000000000001027</v>
      </c>
      <c r="I11" s="155">
        <f t="shared" si="0"/>
        <v>0.72900000000001386</v>
      </c>
      <c r="J11" s="156">
        <f t="shared" si="1"/>
        <v>0.65610000000001667</v>
      </c>
      <c r="L11"/>
      <c r="M11"/>
      <c r="P11" s="171" t="s">
        <v>64</v>
      </c>
      <c r="Q11" s="171" t="s">
        <v>65</v>
      </c>
      <c r="R11" s="379" t="str">
        <f>"-"</f>
        <v>-</v>
      </c>
      <c r="S11" s="378" t="s">
        <v>66</v>
      </c>
      <c r="V11" s="150">
        <v>5</v>
      </c>
      <c r="W11" s="177">
        <f t="shared" si="10"/>
        <v>100</v>
      </c>
      <c r="X11" s="178">
        <f t="shared" si="11"/>
        <v>2</v>
      </c>
      <c r="Y11" s="179">
        <f t="shared" si="12"/>
        <v>4</v>
      </c>
      <c r="Z11" s="287">
        <f t="shared" si="7"/>
        <v>9.4109933214461636E-7</v>
      </c>
      <c r="AA11" s="180">
        <f t="shared" si="8"/>
        <v>9.1296304363068784E-10</v>
      </c>
      <c r="AB11" s="178">
        <f t="shared" si="9"/>
        <v>45.454545454545453</v>
      </c>
      <c r="AI11" s="183" t="s">
        <v>159</v>
      </c>
      <c r="AJ11" s="185">
        <v>0.2</v>
      </c>
      <c r="AK11" s="186">
        <v>-2.1779999999999999</v>
      </c>
      <c r="AL11" s="184">
        <v>-3.3000000000000002E-2</v>
      </c>
      <c r="AM11" s="184">
        <v>0.83</v>
      </c>
      <c r="AN11" s="184">
        <v>1.3009999999999999</v>
      </c>
      <c r="AO11" s="184">
        <v>1.8180000000000001</v>
      </c>
      <c r="AP11" s="184">
        <v>2.1589999999999998</v>
      </c>
      <c r="AQ11" s="184">
        <v>2.472</v>
      </c>
      <c r="AR11" s="187">
        <v>2.7629999999999999</v>
      </c>
      <c r="BE11"/>
      <c r="BF11"/>
      <c r="BG11"/>
      <c r="BH11"/>
      <c r="BI11"/>
      <c r="BJ11"/>
      <c r="BK11"/>
    </row>
    <row r="12" spans="1:63" ht="18.75" x14ac:dyDescent="0.35">
      <c r="A12" s="280">
        <f t="shared" si="3"/>
        <v>11.900000000000006</v>
      </c>
      <c r="B12" s="280">
        <f t="shared" si="4"/>
        <v>141.61000000000013</v>
      </c>
      <c r="C12" s="152">
        <v>8</v>
      </c>
      <c r="D12" s="152">
        <v>2017</v>
      </c>
      <c r="E12" s="154">
        <f>'hujan daerah'!D15</f>
        <v>169</v>
      </c>
      <c r="F12" s="157">
        <v>115</v>
      </c>
      <c r="G12" s="154">
        <f t="shared" si="13"/>
        <v>13225</v>
      </c>
      <c r="H12" s="282">
        <f t="shared" si="6"/>
        <v>141.61000000000013</v>
      </c>
      <c r="I12" s="155">
        <f t="shared" si="0"/>
        <v>1685.1590000000024</v>
      </c>
      <c r="J12" s="156">
        <f t="shared" si="1"/>
        <v>20053.392100000037</v>
      </c>
      <c r="L12" s="35" t="s">
        <v>50</v>
      </c>
      <c r="M12" s="35" t="s">
        <v>51</v>
      </c>
      <c r="N12" s="38">
        <f>(10/(9*8*N8^3))*I15</f>
        <v>1.1754333781397055</v>
      </c>
      <c r="P12" s="168"/>
      <c r="Q12" s="168" t="s">
        <v>292</v>
      </c>
      <c r="R12" s="380"/>
      <c r="S12" s="377"/>
      <c r="V12" s="150">
        <v>6</v>
      </c>
      <c r="W12" s="177">
        <f t="shared" si="10"/>
        <v>100</v>
      </c>
      <c r="X12" s="178">
        <f t="shared" si="11"/>
        <v>2</v>
      </c>
      <c r="Y12" s="179">
        <f t="shared" si="12"/>
        <v>4</v>
      </c>
      <c r="Z12" s="287">
        <f t="shared" si="7"/>
        <v>9.4109933214461636E-7</v>
      </c>
      <c r="AA12" s="180">
        <f t="shared" si="8"/>
        <v>9.1296304363068784E-10</v>
      </c>
      <c r="AB12" s="178">
        <f t="shared" si="9"/>
        <v>54.54545454545454</v>
      </c>
      <c r="BE12" t="s">
        <v>209</v>
      </c>
      <c r="BF12"/>
      <c r="BG12"/>
      <c r="BH12"/>
      <c r="BI12"/>
      <c r="BJ12"/>
      <c r="BK12"/>
    </row>
    <row r="13" spans="1:63" ht="18" x14ac:dyDescent="0.35">
      <c r="A13" s="280">
        <f t="shared" si="3"/>
        <v>16.900000000000006</v>
      </c>
      <c r="B13" s="280">
        <f t="shared" si="4"/>
        <v>285.61000000000018</v>
      </c>
      <c r="C13" s="152">
        <v>9</v>
      </c>
      <c r="D13" s="152">
        <v>2018</v>
      </c>
      <c r="E13" s="154">
        <f>'hujan daerah'!D16</f>
        <v>83</v>
      </c>
      <c r="F13" s="157">
        <v>120</v>
      </c>
      <c r="G13" s="154">
        <f t="shared" si="13"/>
        <v>14400</v>
      </c>
      <c r="H13" s="282">
        <f t="shared" si="6"/>
        <v>285.61000000000018</v>
      </c>
      <c r="I13" s="155">
        <f t="shared" si="0"/>
        <v>4826.8090000000047</v>
      </c>
      <c r="J13" s="156">
        <f t="shared" si="1"/>
        <v>81573.072100000107</v>
      </c>
      <c r="L13"/>
      <c r="M13"/>
      <c r="V13" s="150">
        <v>7</v>
      </c>
      <c r="W13" s="177">
        <f t="shared" si="10"/>
        <v>104</v>
      </c>
      <c r="X13" s="178">
        <f t="shared" si="11"/>
        <v>2.0170333392987803</v>
      </c>
      <c r="Y13" s="179">
        <f t="shared" si="12"/>
        <v>4.0684234918427888</v>
      </c>
      <c r="Z13" s="287">
        <f t="shared" si="7"/>
        <v>3.2412392535486787E-4</v>
      </c>
      <c r="AA13" s="180">
        <f t="shared" si="8"/>
        <v>5.8353463045088221E-6</v>
      </c>
      <c r="AB13" s="178">
        <f t="shared" si="9"/>
        <v>63.636363636363633</v>
      </c>
      <c r="AK13" s="68"/>
      <c r="AL13" s="68"/>
      <c r="AM13" s="68"/>
      <c r="AN13" s="68"/>
      <c r="AO13" s="68"/>
      <c r="AP13" s="68"/>
      <c r="AQ13" s="68"/>
      <c r="AR13" s="68"/>
      <c r="BE13" s="91" t="s">
        <v>210</v>
      </c>
      <c r="BF13"/>
      <c r="BG13"/>
      <c r="BH13"/>
      <c r="BI13"/>
      <c r="BJ13"/>
      <c r="BK13"/>
    </row>
    <row r="14" spans="1:63" ht="18.75" x14ac:dyDescent="0.35">
      <c r="A14" s="280">
        <f t="shared" si="3"/>
        <v>65.900000000000006</v>
      </c>
      <c r="B14" s="280">
        <f t="shared" si="4"/>
        <v>4342.8100000000004</v>
      </c>
      <c r="C14" s="153">
        <v>10</v>
      </c>
      <c r="D14" s="152">
        <v>2019</v>
      </c>
      <c r="E14" s="154">
        <f>'hujan daerah'!D17</f>
        <v>120</v>
      </c>
      <c r="F14" s="157">
        <v>169</v>
      </c>
      <c r="G14" s="154">
        <f t="shared" si="13"/>
        <v>28561</v>
      </c>
      <c r="H14" s="283">
        <f t="shared" si="6"/>
        <v>4342.8100000000004</v>
      </c>
      <c r="I14" s="155">
        <f t="shared" si="0"/>
        <v>286191.17900000006</v>
      </c>
      <c r="J14" s="156">
        <f t="shared" si="1"/>
        <v>18859998.696100004</v>
      </c>
      <c r="L14" s="35" t="s">
        <v>52</v>
      </c>
      <c r="M14" s="35" t="s">
        <v>53</v>
      </c>
      <c r="N14" s="38">
        <f>(10^2/(9*8*7*N8^4))*J15</f>
        <v>6.6402300448384812</v>
      </c>
      <c r="V14" s="150">
        <v>8</v>
      </c>
      <c r="W14" s="177">
        <f t="shared" si="10"/>
        <v>115</v>
      </c>
      <c r="X14" s="178">
        <f t="shared" si="11"/>
        <v>2.0606978403536118</v>
      </c>
      <c r="Y14" s="179">
        <f t="shared" si="12"/>
        <v>4.2464755892380399</v>
      </c>
      <c r="Z14" s="287">
        <f t="shared" si="7"/>
        <v>3.802935205777663E-3</v>
      </c>
      <c r="AA14" s="180">
        <f t="shared" si="8"/>
        <v>2.3451919187032891E-4</v>
      </c>
      <c r="AB14" s="178">
        <f t="shared" si="9"/>
        <v>72.727272727272734</v>
      </c>
      <c r="AK14" s="21"/>
      <c r="AL14" s="21"/>
      <c r="AM14" s="21"/>
      <c r="AN14" s="21"/>
      <c r="AO14" s="21"/>
      <c r="AP14" s="21"/>
      <c r="AQ14" s="21"/>
      <c r="AR14" s="21"/>
      <c r="BE14" t="s">
        <v>260</v>
      </c>
      <c r="BF14"/>
      <c r="BG14"/>
      <c r="BH14"/>
      <c r="BI14" t="s">
        <v>211</v>
      </c>
      <c r="BJ14"/>
      <c r="BK14"/>
    </row>
    <row r="15" spans="1:63" ht="15.75" x14ac:dyDescent="0.25">
      <c r="B15" s="280">
        <f>SUM(B5:B14)</f>
        <v>7402.9</v>
      </c>
      <c r="C15" s="364" t="s">
        <v>39</v>
      </c>
      <c r="D15" s="364"/>
      <c r="E15" s="364"/>
      <c r="F15" s="158">
        <f>SUM(F5:F14)</f>
        <v>1031</v>
      </c>
      <c r="G15" s="158">
        <f t="shared" ref="G15" si="15">SUM(G5:G14)</f>
        <v>113699</v>
      </c>
      <c r="H15" s="292">
        <f>SUM(H5:H14)</f>
        <v>7402.9</v>
      </c>
      <c r="I15" s="281">
        <f>SUM(I5:I14)</f>
        <v>199650.12000000011</v>
      </c>
      <c r="J15" s="158">
        <f>SUM(J5:J14)</f>
        <v>22642918.777000003</v>
      </c>
      <c r="L15"/>
      <c r="M15"/>
      <c r="V15" s="150">
        <v>9</v>
      </c>
      <c r="W15" s="177">
        <f t="shared" si="10"/>
        <v>120</v>
      </c>
      <c r="X15" s="178">
        <f t="shared" si="11"/>
        <v>2.0791812460476247</v>
      </c>
      <c r="Y15" s="179">
        <f t="shared" si="12"/>
        <v>4.3229946539161528</v>
      </c>
      <c r="Z15" s="287">
        <f t="shared" si="7"/>
        <v>6.424238712970291E-3</v>
      </c>
      <c r="AA15" s="180">
        <f t="shared" si="8"/>
        <v>5.149113977980734E-4</v>
      </c>
      <c r="AB15" s="178">
        <f t="shared" si="9"/>
        <v>81.818181818181827</v>
      </c>
      <c r="AE15" s="284">
        <f>(10*AA17)/(9*8*(AF7^3))</f>
        <v>0.1094324264383931</v>
      </c>
      <c r="AI15" s="69" t="s">
        <v>155</v>
      </c>
      <c r="AJ15" s="69"/>
      <c r="AK15" s="69"/>
      <c r="AL15" s="69"/>
      <c r="AM15" s="69"/>
      <c r="AN15" s="69"/>
      <c r="AO15" s="67"/>
      <c r="AP15" s="67"/>
      <c r="BF15" s="294"/>
      <c r="BK15"/>
    </row>
    <row r="16" spans="1:63" ht="18.75" thickBot="1" x14ac:dyDescent="0.4">
      <c r="C16" s="373" t="s">
        <v>40</v>
      </c>
      <c r="D16" s="374"/>
      <c r="E16" s="375"/>
      <c r="F16" s="159">
        <f>F15/C14</f>
        <v>103.1</v>
      </c>
      <c r="G16" s="160"/>
      <c r="H16" s="161"/>
      <c r="I16" s="161"/>
      <c r="J16" s="21"/>
      <c r="L16" s="35" t="s">
        <v>54</v>
      </c>
      <c r="M16" s="37" t="s">
        <v>55</v>
      </c>
      <c r="N16" s="39">
        <f>N12/N10</f>
        <v>4.2254892147833711</v>
      </c>
      <c r="V16" s="150">
        <v>10</v>
      </c>
      <c r="W16" s="177">
        <f t="shared" si="10"/>
        <v>169</v>
      </c>
      <c r="X16" s="178">
        <f t="shared" si="11"/>
        <v>2.2278867046136734</v>
      </c>
      <c r="Y16" s="179">
        <f t="shared" si="12"/>
        <v>4.9634791685943735</v>
      </c>
      <c r="Z16" s="288">
        <f t="shared" si="7"/>
        <v>5.2375438273529286E-2</v>
      </c>
      <c r="AA16" s="180">
        <f t="shared" si="8"/>
        <v>1.1986475587190982E-2</v>
      </c>
      <c r="AB16" s="178">
        <f t="shared" si="9"/>
        <v>90.909090909090907</v>
      </c>
      <c r="AI16" s="67"/>
      <c r="AJ16" s="67"/>
      <c r="AK16" s="67"/>
      <c r="AL16" s="67"/>
      <c r="AM16" s="67"/>
      <c r="AN16" s="67"/>
      <c r="AO16" s="67"/>
      <c r="AP16" s="67"/>
      <c r="BE16" s="1" t="s">
        <v>319</v>
      </c>
      <c r="BF16" s="1" t="s">
        <v>322</v>
      </c>
      <c r="BG16" s="1">
        <v>2</v>
      </c>
      <c r="BK16"/>
    </row>
    <row r="17" spans="2:64" ht="18.75" x14ac:dyDescent="0.35">
      <c r="B17" s="1">
        <f>SQRT(B15/9)</f>
        <v>28.680035642314749</v>
      </c>
      <c r="V17" s="181" t="s">
        <v>72</v>
      </c>
      <c r="W17" s="181"/>
      <c r="X17" s="182">
        <f>SUM(X7:X16)</f>
        <v>19.990298972569132</v>
      </c>
      <c r="Y17" s="285">
        <f>SUM(Y7:Y16)</f>
        <v>40.083530990592905</v>
      </c>
      <c r="Z17" s="288">
        <f>SUM(Z7:Z16)</f>
        <v>0.12232568932304955</v>
      </c>
      <c r="AA17" s="182">
        <f>SUM(AA7:AA16)</f>
        <v>1.2485078255296145E-3</v>
      </c>
      <c r="AB17" s="181"/>
      <c r="AI17" s="195" t="s">
        <v>153</v>
      </c>
      <c r="AJ17" s="196" t="s">
        <v>156</v>
      </c>
      <c r="AK17" s="196" t="s">
        <v>179</v>
      </c>
      <c r="AL17" s="196" t="s">
        <v>154</v>
      </c>
      <c r="AM17" s="196" t="s">
        <v>299</v>
      </c>
      <c r="AN17" s="196" t="s">
        <v>300</v>
      </c>
      <c r="AO17" s="197" t="s">
        <v>301</v>
      </c>
      <c r="AP17" s="198" t="s">
        <v>302</v>
      </c>
      <c r="BE17" s="1" t="s">
        <v>68</v>
      </c>
      <c r="BF17" s="1" t="s">
        <v>84</v>
      </c>
      <c r="BG17" s="39">
        <f>(AB16-AB7)/(5-1)</f>
        <v>20.454545454545453</v>
      </c>
      <c r="BK17"/>
    </row>
    <row r="18" spans="2:64" ht="15.75" x14ac:dyDescent="0.25">
      <c r="V18" s="183" t="s">
        <v>73</v>
      </c>
      <c r="W18" s="291" t="s">
        <v>297</v>
      </c>
      <c r="X18" s="194">
        <f>X17/V16</f>
        <v>1.9990298972569132</v>
      </c>
      <c r="Y18" s="289"/>
      <c r="Z18" s="289"/>
      <c r="AA18" s="289"/>
      <c r="AB18" s="290"/>
      <c r="AI18" s="199">
        <v>1.01</v>
      </c>
      <c r="AJ18" s="200">
        <v>99</v>
      </c>
      <c r="AK18" s="210">
        <f t="shared" ref="AK18:AK25" si="16">$X$18</f>
        <v>1.9990298972569132</v>
      </c>
      <c r="AL18" s="210">
        <f>AJ5</f>
        <v>-2.245020004435589</v>
      </c>
      <c r="AM18" s="210">
        <f t="shared" ref="AM18:AM25" si="17">$AF$7</f>
        <v>0.11658363203347465</v>
      </c>
      <c r="AN18" s="212">
        <f>AL18*AM18</f>
        <v>-0.26173258610490835</v>
      </c>
      <c r="AO18" s="201">
        <f>AK18+AN18</f>
        <v>1.7372973111520049</v>
      </c>
      <c r="AP18" s="202">
        <f>10^AO18</f>
        <v>54.613160622992709</v>
      </c>
      <c r="BE18" s="1" t="s">
        <v>323</v>
      </c>
      <c r="BF18" s="1" t="s">
        <v>84</v>
      </c>
      <c r="BG18" s="39">
        <f>BG17/2</f>
        <v>10.227272727272727</v>
      </c>
      <c r="BK18"/>
    </row>
    <row r="19" spans="2:64" ht="15.75" x14ac:dyDescent="0.25">
      <c r="C19" s="22" t="s">
        <v>41</v>
      </c>
      <c r="D19"/>
      <c r="E19" s="23"/>
      <c r="F19" s="23"/>
      <c r="G19" s="24"/>
      <c r="H19" s="25"/>
      <c r="Y19" s="21"/>
      <c r="Z19" s="21"/>
      <c r="AA19" s="21"/>
      <c r="AI19" s="203">
        <v>2</v>
      </c>
      <c r="AJ19" s="150">
        <v>50</v>
      </c>
      <c r="AK19" s="178">
        <f t="shared" si="16"/>
        <v>1.9990298972569132</v>
      </c>
      <c r="AL19" s="178">
        <f>AK5</f>
        <v>-1.8509188230142894E-2</v>
      </c>
      <c r="AM19" s="178">
        <f t="shared" si="17"/>
        <v>0.11658363203347465</v>
      </c>
      <c r="AN19" s="213">
        <f t="shared" ref="AN19:AN25" si="18">AL19*AM19</f>
        <v>-2.1578683898612989E-3</v>
      </c>
      <c r="AO19" s="204">
        <f t="shared" ref="AO19:AO24" si="19">AK19+AN19</f>
        <v>1.9968720288670518</v>
      </c>
      <c r="AP19" s="205">
        <f t="shared" ref="AP19:AP25" si="20">10^AO19</f>
        <v>99.282345556396422</v>
      </c>
      <c r="BK19"/>
    </row>
    <row r="20" spans="2:64" ht="19.5" thickBot="1" x14ac:dyDescent="0.4">
      <c r="C20" s="14" t="s">
        <v>36</v>
      </c>
      <c r="D20" s="15" t="s">
        <v>32</v>
      </c>
      <c r="E20" s="16" t="s">
        <v>37</v>
      </c>
      <c r="F20" s="16" t="s">
        <v>38</v>
      </c>
      <c r="G20" s="27" t="s">
        <v>42</v>
      </c>
      <c r="H20" s="28" t="s">
        <v>43</v>
      </c>
      <c r="AI20" s="203">
        <v>5</v>
      </c>
      <c r="AJ20" s="150">
        <v>20</v>
      </c>
      <c r="AK20" s="178">
        <f t="shared" si="16"/>
        <v>1.9990298972569132</v>
      </c>
      <c r="AL20" s="178">
        <f>AL5</f>
        <v>0.83543405441369634</v>
      </c>
      <c r="AM20" s="178">
        <f t="shared" si="17"/>
        <v>0.11658363203347465</v>
      </c>
      <c r="AN20" s="213">
        <f t="shared" si="18"/>
        <v>9.7397936388000206E-2</v>
      </c>
      <c r="AO20" s="204">
        <f t="shared" si="19"/>
        <v>2.0964278336449134</v>
      </c>
      <c r="AP20" s="205">
        <f t="shared" si="20"/>
        <v>124.86129463697277</v>
      </c>
      <c r="BE20" s="1" t="s">
        <v>324</v>
      </c>
      <c r="BF20" s="1" t="s">
        <v>84</v>
      </c>
      <c r="BG20" s="39">
        <f>AB7-BG18</f>
        <v>-1.1363636363636349</v>
      </c>
      <c r="BK20"/>
    </row>
    <row r="21" spans="2:64" ht="16.5" thickTop="1" x14ac:dyDescent="0.25">
      <c r="C21" s="17">
        <v>1</v>
      </c>
      <c r="D21" s="7">
        <v>2010</v>
      </c>
      <c r="E21" s="18">
        <f>E5</f>
        <v>115</v>
      </c>
      <c r="F21" s="19">
        <f>F5</f>
        <v>60</v>
      </c>
      <c r="G21" s="29">
        <f>F21-$F$31</f>
        <v>-43.099999999999994</v>
      </c>
      <c r="H21" s="30">
        <f>G21^2</f>
        <v>1857.6099999999994</v>
      </c>
      <c r="AI21" s="203">
        <v>10</v>
      </c>
      <c r="AJ21" s="150">
        <v>10</v>
      </c>
      <c r="AK21" s="178">
        <f t="shared" si="16"/>
        <v>1.9990298972569132</v>
      </c>
      <c r="AL21" s="178">
        <f>AM5</f>
        <v>1.2928489183794554</v>
      </c>
      <c r="AM21" s="178">
        <f t="shared" si="17"/>
        <v>0.11658363203347465</v>
      </c>
      <c r="AN21" s="213">
        <f t="shared" si="18"/>
        <v>0.15072502257522613</v>
      </c>
      <c r="AO21" s="204">
        <f t="shared" si="19"/>
        <v>2.1497549198321391</v>
      </c>
      <c r="AP21" s="205">
        <f t="shared" si="20"/>
        <v>141.17406492161754</v>
      </c>
      <c r="BK21"/>
    </row>
    <row r="22" spans="2:64" ht="17.25" x14ac:dyDescent="0.25">
      <c r="C22" s="17">
        <v>2</v>
      </c>
      <c r="D22" s="7">
        <v>2011</v>
      </c>
      <c r="E22" s="18">
        <f t="shared" ref="E22:E30" si="21">E6</f>
        <v>100</v>
      </c>
      <c r="F22" s="19">
        <f t="shared" ref="F22:F30" si="22">F6</f>
        <v>83</v>
      </c>
      <c r="G22" s="31">
        <f t="shared" ref="G22:G30" si="23">F22-$F$31</f>
        <v>-20.099999999999994</v>
      </c>
      <c r="H22" s="32">
        <f t="shared" ref="H22:H30" si="24">G22^2</f>
        <v>404.00999999999976</v>
      </c>
      <c r="AI22" s="203">
        <v>25</v>
      </c>
      <c r="AJ22" s="150">
        <v>4</v>
      </c>
      <c r="AK22" s="178">
        <f t="shared" si="16"/>
        <v>1.9990298972569132</v>
      </c>
      <c r="AL22" s="178">
        <f>AN5</f>
        <v>1.7881127007246695</v>
      </c>
      <c r="AM22" s="178">
        <f t="shared" si="17"/>
        <v>0.11658363203347465</v>
      </c>
      <c r="AN22" s="213">
        <f t="shared" si="18"/>
        <v>0.20846467313566744</v>
      </c>
      <c r="AO22" s="204">
        <f t="shared" si="19"/>
        <v>2.2074945703925808</v>
      </c>
      <c r="AP22" s="205">
        <f t="shared" si="20"/>
        <v>161.2480867761287</v>
      </c>
      <c r="BE22" t="s">
        <v>212</v>
      </c>
      <c r="BF22"/>
      <c r="BG22"/>
      <c r="BH22"/>
      <c r="BI22"/>
      <c r="BJ22"/>
      <c r="BK22"/>
    </row>
    <row r="23" spans="2:64" ht="15.75" x14ac:dyDescent="0.25">
      <c r="C23" s="17">
        <v>3</v>
      </c>
      <c r="D23" s="7">
        <v>2012</v>
      </c>
      <c r="E23" s="18">
        <f t="shared" si="21"/>
        <v>104</v>
      </c>
      <c r="F23" s="19">
        <f t="shared" si="22"/>
        <v>88</v>
      </c>
      <c r="G23" s="31">
        <f t="shared" si="23"/>
        <v>-15.099999999999994</v>
      </c>
      <c r="H23" s="32">
        <f t="shared" si="24"/>
        <v>228.00999999999982</v>
      </c>
      <c r="AI23" s="203">
        <v>50</v>
      </c>
      <c r="AJ23" s="150">
        <v>2</v>
      </c>
      <c r="AK23" s="178">
        <f t="shared" si="16"/>
        <v>1.9990298972569132</v>
      </c>
      <c r="AL23" s="178">
        <f>AO5</f>
        <v>2.1119048617479645</v>
      </c>
      <c r="AM23" s="178">
        <f t="shared" si="17"/>
        <v>0.11658363203347465</v>
      </c>
      <c r="AN23" s="213">
        <f t="shared" si="18"/>
        <v>0.24621353929173084</v>
      </c>
      <c r="AO23" s="204">
        <f t="shared" si="19"/>
        <v>2.2452434365486438</v>
      </c>
      <c r="AP23" s="205">
        <f t="shared" si="20"/>
        <v>175.89092650220553</v>
      </c>
      <c r="BE23"/>
      <c r="BF23"/>
      <c r="BG23"/>
      <c r="BH23"/>
      <c r="BI23"/>
      <c r="BJ23"/>
    </row>
    <row r="24" spans="2:64" ht="15.75" x14ac:dyDescent="0.25">
      <c r="C24" s="17">
        <v>4</v>
      </c>
      <c r="D24" s="7">
        <v>2013</v>
      </c>
      <c r="E24" s="18">
        <f t="shared" si="21"/>
        <v>88</v>
      </c>
      <c r="F24" s="19">
        <f t="shared" si="22"/>
        <v>92</v>
      </c>
      <c r="G24" s="31">
        <f t="shared" si="23"/>
        <v>-11.099999999999994</v>
      </c>
      <c r="H24" s="32">
        <f t="shared" si="24"/>
        <v>123.20999999999988</v>
      </c>
      <c r="AB24"/>
      <c r="AE24" s="284">
        <f>SQRT(Z17/9)</f>
        <v>0.11658363203347465</v>
      </c>
      <c r="AI24" s="203">
        <v>100</v>
      </c>
      <c r="AJ24" s="150">
        <v>1</v>
      </c>
      <c r="AK24" s="178">
        <f t="shared" si="16"/>
        <v>1.9990298972569132</v>
      </c>
      <c r="AL24" s="178">
        <f>AP5</f>
        <v>2.406791347035643</v>
      </c>
      <c r="AM24" s="178">
        <f t="shared" si="17"/>
        <v>0.11658363203347465</v>
      </c>
      <c r="AN24" s="213">
        <f t="shared" si="18"/>
        <v>0.28059247678415417</v>
      </c>
      <c r="AO24" s="204">
        <f t="shared" si="19"/>
        <v>2.2796223740410673</v>
      </c>
      <c r="AP24" s="205">
        <f t="shared" si="20"/>
        <v>190.38046096755681</v>
      </c>
      <c r="BE24" t="s">
        <v>213</v>
      </c>
      <c r="BF24"/>
      <c r="BG24"/>
      <c r="BH24"/>
      <c r="BI24"/>
      <c r="BJ24"/>
    </row>
    <row r="25" spans="2:64" ht="18.75" customHeight="1" thickBot="1" x14ac:dyDescent="0.3">
      <c r="C25" s="17">
        <v>5</v>
      </c>
      <c r="D25" s="7">
        <v>2014</v>
      </c>
      <c r="E25" s="18">
        <f t="shared" si="21"/>
        <v>92</v>
      </c>
      <c r="F25" s="19">
        <f t="shared" si="22"/>
        <v>100</v>
      </c>
      <c r="G25" s="31">
        <f t="shared" si="23"/>
        <v>-3.0999999999999943</v>
      </c>
      <c r="H25" s="32">
        <f t="shared" si="24"/>
        <v>9.6099999999999639</v>
      </c>
      <c r="AI25" s="206">
        <v>200</v>
      </c>
      <c r="AJ25" s="207">
        <v>0.5</v>
      </c>
      <c r="AK25" s="211">
        <f t="shared" si="16"/>
        <v>1.9990298972569132</v>
      </c>
      <c r="AL25" s="211">
        <f>AQ5</f>
        <v>2.6787721565877054</v>
      </c>
      <c r="AM25" s="211">
        <f t="shared" si="17"/>
        <v>0.11658363203347465</v>
      </c>
      <c r="AN25" s="214">
        <f t="shared" si="18"/>
        <v>0.3123009874051384</v>
      </c>
      <c r="AO25" s="208">
        <f>AK25+AN25</f>
        <v>2.3113308846620515</v>
      </c>
      <c r="AP25" s="209">
        <f t="shared" si="20"/>
        <v>204.80043967212177</v>
      </c>
      <c r="BE25" s="367" t="s">
        <v>214</v>
      </c>
      <c r="BF25" s="368"/>
      <c r="BG25" s="369"/>
      <c r="BH25" s="362" t="s">
        <v>215</v>
      </c>
      <c r="BI25" s="362" t="s">
        <v>216</v>
      </c>
      <c r="BJ25" s="362" t="s">
        <v>217</v>
      </c>
      <c r="BK25" s="362" t="s">
        <v>218</v>
      </c>
      <c r="BL25" s="362" t="s">
        <v>219</v>
      </c>
    </row>
    <row r="26" spans="2:64" x14ac:dyDescent="0.25">
      <c r="C26" s="17">
        <v>6</v>
      </c>
      <c r="D26" s="7">
        <v>2015</v>
      </c>
      <c r="E26" s="18">
        <f t="shared" si="21"/>
        <v>100</v>
      </c>
      <c r="F26" s="19">
        <f t="shared" si="22"/>
        <v>100</v>
      </c>
      <c r="G26" s="31">
        <f t="shared" si="23"/>
        <v>-3.0999999999999943</v>
      </c>
      <c r="H26" s="32">
        <f t="shared" si="24"/>
        <v>9.6099999999999639</v>
      </c>
      <c r="BE26" s="370" t="s">
        <v>156</v>
      </c>
      <c r="BF26" s="371"/>
      <c r="BG26" s="372"/>
      <c r="BH26" s="362"/>
      <c r="BI26" s="362"/>
      <c r="BJ26" s="362"/>
      <c r="BK26" s="362"/>
      <c r="BL26" s="362"/>
    </row>
    <row r="27" spans="2:64" x14ac:dyDescent="0.25">
      <c r="C27" s="17">
        <v>7</v>
      </c>
      <c r="D27" s="7">
        <v>2016</v>
      </c>
      <c r="E27" s="18">
        <f t="shared" si="21"/>
        <v>60</v>
      </c>
      <c r="F27" s="19">
        <f t="shared" si="22"/>
        <v>104</v>
      </c>
      <c r="G27" s="31">
        <f t="shared" si="23"/>
        <v>0.90000000000000568</v>
      </c>
      <c r="H27" s="32">
        <f t="shared" si="24"/>
        <v>0.81000000000001027</v>
      </c>
      <c r="BE27" s="307">
        <f>BG20</f>
        <v>-1.1363636363636349</v>
      </c>
      <c r="BF27" s="302" t="s">
        <v>325</v>
      </c>
      <c r="BG27" s="310">
        <f>BG17+BG20</f>
        <v>19.31818181818182</v>
      </c>
      <c r="BH27" s="223">
        <v>2</v>
      </c>
      <c r="BI27" s="223">
        <v>2</v>
      </c>
      <c r="BJ27" s="223">
        <f>BH27-BI27</f>
        <v>0</v>
      </c>
      <c r="BK27" s="223">
        <f>BJ27^2</f>
        <v>0</v>
      </c>
      <c r="BL27" s="89">
        <f>BK27/BH27</f>
        <v>0</v>
      </c>
    </row>
    <row r="28" spans="2:64" x14ac:dyDescent="0.25">
      <c r="C28" s="17">
        <v>8</v>
      </c>
      <c r="D28" s="7">
        <v>2017</v>
      </c>
      <c r="E28" s="18">
        <f t="shared" si="21"/>
        <v>169</v>
      </c>
      <c r="F28" s="19">
        <f t="shared" si="22"/>
        <v>115</v>
      </c>
      <c r="G28" s="31">
        <f t="shared" si="23"/>
        <v>11.900000000000006</v>
      </c>
      <c r="H28" s="32">
        <f t="shared" si="24"/>
        <v>141.61000000000013</v>
      </c>
      <c r="BE28" s="308">
        <f>BG27</f>
        <v>19.31818181818182</v>
      </c>
      <c r="BF28" s="296" t="s">
        <v>325</v>
      </c>
      <c r="BG28" s="311">
        <f>BE28+BG17</f>
        <v>39.772727272727273</v>
      </c>
      <c r="BH28" s="304">
        <v>2</v>
      </c>
      <c r="BI28" s="304">
        <v>2</v>
      </c>
      <c r="BJ28" s="304">
        <f>BH28-BI28</f>
        <v>0</v>
      </c>
      <c r="BK28" s="304">
        <f>BJ28^2</f>
        <v>0</v>
      </c>
      <c r="BL28" s="89">
        <f>BK28/BH28</f>
        <v>0</v>
      </c>
    </row>
    <row r="29" spans="2:64" x14ac:dyDescent="0.25">
      <c r="C29" s="17">
        <v>9</v>
      </c>
      <c r="D29" s="7">
        <v>2018</v>
      </c>
      <c r="E29" s="18">
        <f t="shared" si="21"/>
        <v>83</v>
      </c>
      <c r="F29" s="19">
        <f t="shared" si="22"/>
        <v>120</v>
      </c>
      <c r="G29" s="31">
        <f t="shared" si="23"/>
        <v>16.900000000000006</v>
      </c>
      <c r="H29" s="32">
        <f t="shared" si="24"/>
        <v>285.61000000000018</v>
      </c>
      <c r="M29"/>
      <c r="AP29" s="70"/>
      <c r="BE29" s="308">
        <f>BG28</f>
        <v>39.772727272727273</v>
      </c>
      <c r="BF29" s="296" t="s">
        <v>325</v>
      </c>
      <c r="BG29" s="311">
        <f>BE29+BG17</f>
        <v>60.227272727272727</v>
      </c>
      <c r="BH29" s="304">
        <v>2</v>
      </c>
      <c r="BI29" s="304">
        <v>2</v>
      </c>
      <c r="BJ29" s="304">
        <f>BH29-BI29</f>
        <v>0</v>
      </c>
      <c r="BK29" s="304">
        <f>BJ29^2</f>
        <v>0</v>
      </c>
      <c r="BL29" s="89">
        <f>BK29/BH29</f>
        <v>0</v>
      </c>
    </row>
    <row r="30" spans="2:64" x14ac:dyDescent="0.25">
      <c r="C30" s="20">
        <v>10</v>
      </c>
      <c r="D30" s="8">
        <v>2019</v>
      </c>
      <c r="E30" s="95">
        <f t="shared" si="21"/>
        <v>120</v>
      </c>
      <c r="F30" s="19">
        <f t="shared" si="22"/>
        <v>169</v>
      </c>
      <c r="G30" s="33">
        <f t="shared" si="23"/>
        <v>65.900000000000006</v>
      </c>
      <c r="H30" s="34">
        <f t="shared" si="24"/>
        <v>4342.8100000000004</v>
      </c>
      <c r="BE30" s="308">
        <f>BG29</f>
        <v>60.227272727272727</v>
      </c>
      <c r="BF30" s="296" t="s">
        <v>325</v>
      </c>
      <c r="BG30" s="311">
        <f>BE30+BG17</f>
        <v>80.681818181818187</v>
      </c>
      <c r="BH30" s="304">
        <v>2</v>
      </c>
      <c r="BI30" s="304">
        <v>2</v>
      </c>
      <c r="BJ30" s="304">
        <f>BH30-BI30</f>
        <v>0</v>
      </c>
      <c r="BK30" s="304">
        <f>BJ30^2</f>
        <v>0</v>
      </c>
      <c r="BL30" s="89">
        <f>BK30/BH30</f>
        <v>0</v>
      </c>
    </row>
    <row r="31" spans="2:64" x14ac:dyDescent="0.25">
      <c r="F31" s="26">
        <f>AVERAGE(F21:F30)</f>
        <v>103.1</v>
      </c>
      <c r="BE31" s="309">
        <f>BG30</f>
        <v>80.681818181818187</v>
      </c>
      <c r="BF31" s="297" t="s">
        <v>325</v>
      </c>
      <c r="BG31" s="312">
        <f>BE31+BG17</f>
        <v>101.13636363636364</v>
      </c>
      <c r="BH31" s="305">
        <v>2</v>
      </c>
      <c r="BI31" s="305">
        <v>2</v>
      </c>
      <c r="BJ31" s="305">
        <f>BH31-BI31</f>
        <v>0</v>
      </c>
      <c r="BK31" s="305">
        <f>BJ31^2</f>
        <v>0</v>
      </c>
      <c r="BL31" s="89">
        <f>BK31/BH31</f>
        <v>0</v>
      </c>
    </row>
    <row r="32" spans="2:64" ht="17.25" x14ac:dyDescent="0.25">
      <c r="BE32" s="303" t="s">
        <v>72</v>
      </c>
      <c r="BF32" s="298"/>
      <c r="BG32" s="298"/>
      <c r="BH32" s="41"/>
      <c r="BI32" s="41"/>
      <c r="BJ32" s="41"/>
      <c r="BK32" s="92" t="s">
        <v>220</v>
      </c>
      <c r="BL32" s="93">
        <f>SUM(BL27:BL31)</f>
        <v>0</v>
      </c>
    </row>
    <row r="33" spans="57:65" x14ac:dyDescent="0.25">
      <c r="BE33"/>
      <c r="BF33"/>
      <c r="BG33"/>
      <c r="BH33"/>
      <c r="BI33"/>
      <c r="BJ33"/>
    </row>
    <row r="34" spans="57:65" ht="17.25" x14ac:dyDescent="0.25">
      <c r="BE34" t="s">
        <v>316</v>
      </c>
      <c r="BF34"/>
      <c r="BG34"/>
      <c r="BH34"/>
      <c r="BI34"/>
      <c r="BJ34"/>
    </row>
    <row r="35" spans="57:65" ht="18.75" x14ac:dyDescent="0.35">
      <c r="BE35" t="s">
        <v>221</v>
      </c>
      <c r="BF35"/>
      <c r="BG35" t="s">
        <v>222</v>
      </c>
      <c r="BH35"/>
      <c r="BI35"/>
      <c r="BJ35"/>
      <c r="BM35" s="237"/>
    </row>
    <row r="36" spans="57:65" ht="15.75" x14ac:dyDescent="0.25">
      <c r="BE36"/>
      <c r="BF36" s="306" t="s">
        <v>317</v>
      </c>
      <c r="BG36" s="94"/>
      <c r="BH36"/>
      <c r="BI36"/>
      <c r="BJ36"/>
    </row>
  </sheetData>
  <mergeCells count="23">
    <mergeCell ref="BE5:BF5"/>
    <mergeCell ref="BE6:BI6"/>
    <mergeCell ref="BE10:BK10"/>
    <mergeCell ref="BH25:BH26"/>
    <mergeCell ref="BI25:BI26"/>
    <mergeCell ref="BJ25:BJ26"/>
    <mergeCell ref="BK25:BK26"/>
    <mergeCell ref="BL25:BL26"/>
    <mergeCell ref="AI2:AQ2"/>
    <mergeCell ref="C15:E15"/>
    <mergeCell ref="W5:W6"/>
    <mergeCell ref="X5:X6"/>
    <mergeCell ref="Y5:Y6"/>
    <mergeCell ref="Z5:Z6"/>
    <mergeCell ref="AA5:AA6"/>
    <mergeCell ref="BE25:BG25"/>
    <mergeCell ref="BE26:BG26"/>
    <mergeCell ref="C16:E16"/>
    <mergeCell ref="S5:S6"/>
    <mergeCell ref="S7:S8"/>
    <mergeCell ref="S9:S10"/>
    <mergeCell ref="R11:R12"/>
    <mergeCell ref="S11:S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E56E-DCFF-4B54-994C-1620E79B8918}">
  <dimension ref="C4:L26"/>
  <sheetViews>
    <sheetView topLeftCell="A19" workbookViewId="0">
      <selection activeCell="C13" sqref="C13"/>
    </sheetView>
  </sheetViews>
  <sheetFormatPr defaultRowHeight="15" x14ac:dyDescent="0.25"/>
  <cols>
    <col min="5" max="5" width="12.85546875" customWidth="1"/>
    <col min="7" max="7" width="16.28515625" customWidth="1"/>
    <col min="8" max="8" width="11.7109375" customWidth="1"/>
    <col min="9" max="9" width="10.85546875" customWidth="1"/>
    <col min="10" max="10" width="9.85546875" customWidth="1"/>
    <col min="11" max="11" width="10.7109375" customWidth="1"/>
    <col min="12" max="12" width="10.28515625" customWidth="1"/>
  </cols>
  <sheetData>
    <row r="4" spans="3:12" x14ac:dyDescent="0.25">
      <c r="C4" s="78" t="s">
        <v>188</v>
      </c>
      <c r="D4" s="79"/>
      <c r="E4" s="79"/>
      <c r="F4" s="79"/>
      <c r="G4" s="80"/>
      <c r="H4" s="80"/>
      <c r="I4" s="80"/>
      <c r="J4" s="80"/>
      <c r="K4" s="80"/>
      <c r="L4" s="81"/>
    </row>
    <row r="5" spans="3:12" x14ac:dyDescent="0.25">
      <c r="C5" s="82"/>
      <c r="D5" t="s">
        <v>189</v>
      </c>
      <c r="E5">
        <v>10</v>
      </c>
      <c r="L5" s="83"/>
    </row>
    <row r="6" spans="3:12" x14ac:dyDescent="0.25">
      <c r="C6" s="82"/>
      <c r="D6" t="s">
        <v>190</v>
      </c>
      <c r="E6" s="84">
        <v>0.05</v>
      </c>
      <c r="L6" s="83"/>
    </row>
    <row r="7" spans="3:12" ht="15.75" x14ac:dyDescent="0.3">
      <c r="C7" s="82"/>
      <c r="D7" s="85" t="s">
        <v>191</v>
      </c>
      <c r="E7">
        <v>0.41</v>
      </c>
      <c r="F7" t="s">
        <v>192</v>
      </c>
      <c r="L7" s="83"/>
    </row>
    <row r="8" spans="3:12" x14ac:dyDescent="0.25">
      <c r="C8" s="82"/>
      <c r="D8" t="s">
        <v>193</v>
      </c>
      <c r="E8" s="38">
        <f>'anlsa frek,hjn rncn,chi-khadrat'!$F$16</f>
        <v>103.1</v>
      </c>
      <c r="L8" s="83"/>
    </row>
    <row r="9" spans="3:12" x14ac:dyDescent="0.25">
      <c r="C9" s="82"/>
      <c r="D9" t="s">
        <v>194</v>
      </c>
      <c r="E9" s="38">
        <f>'anlsa frek,hjn rncn,chi-khadrat'!$N$8</f>
        <v>28.680035642314749</v>
      </c>
      <c r="L9" s="83"/>
    </row>
    <row r="10" spans="3:12" x14ac:dyDescent="0.25">
      <c r="C10" s="86"/>
      <c r="D10" s="87"/>
      <c r="E10" s="87"/>
      <c r="F10" s="87"/>
      <c r="G10" s="87"/>
      <c r="H10" s="87"/>
      <c r="I10" s="87"/>
      <c r="J10" s="87"/>
      <c r="K10" s="87"/>
      <c r="L10" s="88"/>
    </row>
    <row r="11" spans="3:12" ht="15.75" x14ac:dyDescent="0.25">
      <c r="C11" s="192" t="s">
        <v>68</v>
      </c>
      <c r="D11" s="313" t="s">
        <v>170</v>
      </c>
      <c r="E11" s="313" t="s">
        <v>195</v>
      </c>
      <c r="F11" s="291" t="s">
        <v>196</v>
      </c>
      <c r="G11" s="313" t="s">
        <v>197</v>
      </c>
      <c r="H11" s="314" t="s">
        <v>198</v>
      </c>
      <c r="I11" s="313" t="s">
        <v>199</v>
      </c>
      <c r="J11" s="313" t="s">
        <v>200</v>
      </c>
      <c r="K11" s="313" t="s">
        <v>201</v>
      </c>
      <c r="L11" s="181" t="s">
        <v>202</v>
      </c>
    </row>
    <row r="12" spans="3:12" ht="15.75" x14ac:dyDescent="0.25">
      <c r="C12" s="315">
        <f>'anlsa frek,hjn rncn,chi-khadrat'!$F$21</f>
        <v>60</v>
      </c>
      <c r="D12" s="316">
        <v>1</v>
      </c>
      <c r="E12" s="179">
        <f>D12/($E$5+1)</f>
        <v>9.0909090909090912E-2</v>
      </c>
      <c r="F12" s="191">
        <f>E21</f>
        <v>0.90909090909090906</v>
      </c>
      <c r="G12" s="179">
        <f>(C12-$E$8)/$E$9</f>
        <v>-1.5027875326769091</v>
      </c>
      <c r="H12" s="179">
        <f>ABS(G12)</f>
        <v>1.5027875326769091</v>
      </c>
      <c r="I12" s="179">
        <f>(100-(H12/$H$23))/100</f>
        <v>0.9774581589958159</v>
      </c>
      <c r="J12" s="317">
        <f>I12*E12</f>
        <v>8.8859832635983266E-2</v>
      </c>
      <c r="K12" s="317">
        <f>1-J12</f>
        <v>0.91114016736401671</v>
      </c>
      <c r="L12" s="318">
        <f>K12-F12</f>
        <v>2.0492582731076459E-3</v>
      </c>
    </row>
    <row r="13" spans="3:12" ht="15.75" x14ac:dyDescent="0.25">
      <c r="C13" s="315">
        <f>'anlsa frek,hjn rncn,chi-khadrat'!$F$22</f>
        <v>83</v>
      </c>
      <c r="D13" s="316">
        <v>2</v>
      </c>
      <c r="E13" s="179">
        <f t="shared" ref="E13:E21" si="0">D13/($E$5+1)</f>
        <v>0.18181818181818182</v>
      </c>
      <c r="F13" s="191">
        <f>E20</f>
        <v>0.81818181818181823</v>
      </c>
      <c r="G13" s="179">
        <f t="shared" ref="G13:G21" si="1">(C13-$E$8)/$E$9</f>
        <v>-0.7008359491138253</v>
      </c>
      <c r="H13" s="179">
        <f t="shared" ref="H13:H21" si="2">ABS(G13)</f>
        <v>0.7008359491138253</v>
      </c>
      <c r="I13" s="179">
        <f t="shared" ref="I13:I21" si="3">(100-(H13/$H$23))/100</f>
        <v>0.98948744769874475</v>
      </c>
      <c r="J13" s="317">
        <f t="shared" ref="J13:J21" si="4">I13*E13</f>
        <v>0.17990680867249906</v>
      </c>
      <c r="K13" s="317">
        <f t="shared" ref="K13:K21" si="5">1-J13</f>
        <v>0.82009319132750091</v>
      </c>
      <c r="L13" s="318">
        <f t="shared" ref="L13:L21" si="6">K13-F13</f>
        <v>1.9113731456826821E-3</v>
      </c>
    </row>
    <row r="14" spans="3:12" ht="15.75" x14ac:dyDescent="0.25">
      <c r="C14" s="315">
        <f>'anlsa frek,hjn rncn,chi-khadrat'!$F$23</f>
        <v>88</v>
      </c>
      <c r="D14" s="316">
        <v>3</v>
      </c>
      <c r="E14" s="179">
        <f t="shared" si="0"/>
        <v>0.27272727272727271</v>
      </c>
      <c r="F14" s="191">
        <f>E19</f>
        <v>0.72727272727272729</v>
      </c>
      <c r="G14" s="179">
        <f t="shared" si="1"/>
        <v>-0.52649864833924176</v>
      </c>
      <c r="H14" s="179">
        <f t="shared" si="2"/>
        <v>0.52649864833924176</v>
      </c>
      <c r="I14" s="179">
        <f t="shared" si="3"/>
        <v>0.99210251046025111</v>
      </c>
      <c r="J14" s="317">
        <f t="shared" si="4"/>
        <v>0.27057341194370482</v>
      </c>
      <c r="K14" s="317">
        <f t="shared" si="5"/>
        <v>0.72942658805629512</v>
      </c>
      <c r="L14" s="318">
        <f t="shared" si="6"/>
        <v>2.1538607835678292E-3</v>
      </c>
    </row>
    <row r="15" spans="3:12" ht="15.75" x14ac:dyDescent="0.25">
      <c r="C15" s="315">
        <f>'anlsa frek,hjn rncn,chi-khadrat'!$F$24</f>
        <v>92</v>
      </c>
      <c r="D15" s="316">
        <v>4</v>
      </c>
      <c r="E15" s="179">
        <f t="shared" si="0"/>
        <v>0.36363636363636365</v>
      </c>
      <c r="F15" s="191">
        <f>E18</f>
        <v>0.63636363636363635</v>
      </c>
      <c r="G15" s="179">
        <f t="shared" si="1"/>
        <v>-0.38702880771957504</v>
      </c>
      <c r="H15" s="179">
        <f t="shared" si="2"/>
        <v>0.38702880771957504</v>
      </c>
      <c r="I15" s="179">
        <f t="shared" si="3"/>
        <v>0.99419456066945611</v>
      </c>
      <c r="J15" s="317">
        <f t="shared" si="4"/>
        <v>0.36152529478889311</v>
      </c>
      <c r="K15" s="317">
        <f t="shared" si="5"/>
        <v>0.63847470521110683</v>
      </c>
      <c r="L15" s="318">
        <f t="shared" si="6"/>
        <v>2.1110688474704764E-3</v>
      </c>
    </row>
    <row r="16" spans="3:12" ht="15.75" x14ac:dyDescent="0.25">
      <c r="C16" s="315">
        <f>'anlsa frek,hjn rncn,chi-khadrat'!$F$25</f>
        <v>100</v>
      </c>
      <c r="D16" s="316">
        <v>5</v>
      </c>
      <c r="E16" s="179">
        <f t="shared" si="0"/>
        <v>0.45454545454545453</v>
      </c>
      <c r="F16" s="191">
        <f>E17</f>
        <v>0.54545454545454541</v>
      </c>
      <c r="G16" s="179">
        <f t="shared" si="1"/>
        <v>-0.10808912648024153</v>
      </c>
      <c r="H16" s="179">
        <f t="shared" si="2"/>
        <v>0.10808912648024153</v>
      </c>
      <c r="I16" s="179">
        <f t="shared" si="3"/>
        <v>0.9983786610878661</v>
      </c>
      <c r="J16" s="317">
        <f t="shared" si="4"/>
        <v>0.45380848231266641</v>
      </c>
      <c r="K16" s="317">
        <f t="shared" si="5"/>
        <v>0.54619151768733354</v>
      </c>
      <c r="L16" s="318">
        <f t="shared" si="6"/>
        <v>7.3697223278812451E-4</v>
      </c>
    </row>
    <row r="17" spans="3:12" ht="15.75" x14ac:dyDescent="0.25">
      <c r="C17" s="315">
        <f>'anlsa frek,hjn rncn,chi-khadrat'!$F$26</f>
        <v>100</v>
      </c>
      <c r="D17" s="316">
        <v>6</v>
      </c>
      <c r="E17" s="179">
        <f t="shared" si="0"/>
        <v>0.54545454545454541</v>
      </c>
      <c r="F17" s="191">
        <f>E16</f>
        <v>0.45454545454545453</v>
      </c>
      <c r="G17" s="179">
        <f t="shared" si="1"/>
        <v>-0.10808912648024153</v>
      </c>
      <c r="H17" s="179">
        <f t="shared" si="2"/>
        <v>0.10808912648024153</v>
      </c>
      <c r="I17" s="179">
        <f t="shared" si="3"/>
        <v>0.9983786610878661</v>
      </c>
      <c r="J17" s="317">
        <f t="shared" si="4"/>
        <v>0.54457017877519964</v>
      </c>
      <c r="K17" s="317">
        <f t="shared" si="5"/>
        <v>0.45542982122480036</v>
      </c>
      <c r="L17" s="318">
        <f t="shared" si="6"/>
        <v>8.8436667934582713E-4</v>
      </c>
    </row>
    <row r="18" spans="3:12" ht="15.75" x14ac:dyDescent="0.25">
      <c r="C18" s="315">
        <f>'anlsa frek,hjn rncn,chi-khadrat'!$F$27</f>
        <v>104</v>
      </c>
      <c r="D18" s="316">
        <v>7</v>
      </c>
      <c r="E18" s="179">
        <f t="shared" si="0"/>
        <v>0.63636363636363635</v>
      </c>
      <c r="F18" s="191">
        <f>E15</f>
        <v>0.36363636363636365</v>
      </c>
      <c r="G18" s="179">
        <f t="shared" si="1"/>
        <v>3.1380714139425218E-2</v>
      </c>
      <c r="H18" s="179">
        <f t="shared" si="2"/>
        <v>3.1380714139425218E-2</v>
      </c>
      <c r="I18" s="179">
        <f t="shared" si="3"/>
        <v>0.9995292887029289</v>
      </c>
      <c r="J18" s="317">
        <f t="shared" si="4"/>
        <v>0.63606409281095477</v>
      </c>
      <c r="K18" s="317">
        <f t="shared" si="5"/>
        <v>0.36393590718904523</v>
      </c>
      <c r="L18" s="318">
        <f t="shared" si="6"/>
        <v>2.9954355268158039E-4</v>
      </c>
    </row>
    <row r="19" spans="3:12" ht="15.75" x14ac:dyDescent="0.25">
      <c r="C19" s="315">
        <f>'anlsa frek,hjn rncn,chi-khadrat'!$F$28</f>
        <v>115</v>
      </c>
      <c r="D19" s="316">
        <v>8</v>
      </c>
      <c r="E19" s="179">
        <f t="shared" si="0"/>
        <v>0.72727272727272729</v>
      </c>
      <c r="F19" s="191">
        <f>E14</f>
        <v>0.27272727272727271</v>
      </c>
      <c r="G19" s="179">
        <f t="shared" si="1"/>
        <v>0.41492277584350878</v>
      </c>
      <c r="H19" s="179">
        <f t="shared" si="2"/>
        <v>0.41492277584350878</v>
      </c>
      <c r="I19" s="179">
        <f t="shared" si="3"/>
        <v>0.99377615062761504</v>
      </c>
      <c r="J19" s="317">
        <f t="shared" si="4"/>
        <v>0.72274629136553825</v>
      </c>
      <c r="K19" s="317">
        <f t="shared" si="5"/>
        <v>0.27725370863446175</v>
      </c>
      <c r="L19" s="318">
        <f t="shared" si="6"/>
        <v>4.5264359071890414E-3</v>
      </c>
    </row>
    <row r="20" spans="3:12" ht="15.75" x14ac:dyDescent="0.25">
      <c r="C20" s="315">
        <f>'anlsa frek,hjn rncn,chi-khadrat'!$F$29</f>
        <v>120</v>
      </c>
      <c r="D20" s="316">
        <v>9</v>
      </c>
      <c r="E20" s="179">
        <f t="shared" si="0"/>
        <v>0.81818181818181823</v>
      </c>
      <c r="F20" s="191">
        <f>E13</f>
        <v>0.18181818181818182</v>
      </c>
      <c r="G20" s="179">
        <f t="shared" si="1"/>
        <v>0.58926007661809221</v>
      </c>
      <c r="H20" s="179">
        <f t="shared" si="2"/>
        <v>0.58926007661809221</v>
      </c>
      <c r="I20" s="179">
        <f t="shared" si="3"/>
        <v>0.99116108786610879</v>
      </c>
      <c r="J20" s="317">
        <f t="shared" si="4"/>
        <v>0.81094998098136184</v>
      </c>
      <c r="K20" s="317">
        <f t="shared" si="5"/>
        <v>0.18905001901863816</v>
      </c>
      <c r="L20" s="318">
        <f t="shared" si="6"/>
        <v>7.2318372004563369E-3</v>
      </c>
    </row>
    <row r="21" spans="3:12" ht="15.75" x14ac:dyDescent="0.25">
      <c r="C21" s="319">
        <f>'anlsa frek,hjn rncn,chi-khadrat'!$F$30</f>
        <v>169</v>
      </c>
      <c r="D21" s="320">
        <v>10</v>
      </c>
      <c r="E21" s="184">
        <f t="shared" si="0"/>
        <v>0.90909090909090906</v>
      </c>
      <c r="F21" s="187">
        <f>E12</f>
        <v>9.0909090909090912E-2</v>
      </c>
      <c r="G21" s="184">
        <f t="shared" si="1"/>
        <v>2.2977656242090099</v>
      </c>
      <c r="H21" s="184">
        <f t="shared" si="2"/>
        <v>2.2977656242090099</v>
      </c>
      <c r="I21" s="184">
        <f t="shared" si="3"/>
        <v>0.96553347280334734</v>
      </c>
      <c r="J21" s="321">
        <f t="shared" si="4"/>
        <v>0.8777577025484975</v>
      </c>
      <c r="K21" s="321">
        <f t="shared" si="5"/>
        <v>0.1222422974515025</v>
      </c>
      <c r="L21" s="322">
        <f t="shared" si="6"/>
        <v>3.133320654241159E-2</v>
      </c>
    </row>
    <row r="22" spans="3:12" ht="15.75" x14ac:dyDescent="0.25">
      <c r="C22" s="323"/>
      <c r="D22" s="121"/>
      <c r="E22" s="121"/>
      <c r="F22" s="121"/>
      <c r="G22" s="324" t="s">
        <v>203</v>
      </c>
      <c r="H22" s="139">
        <f>SUM(H12:H21)</f>
        <v>6.6666583816200706</v>
      </c>
      <c r="I22" s="121"/>
      <c r="J22" s="121"/>
      <c r="K22" s="325" t="s">
        <v>204</v>
      </c>
      <c r="L22" s="326">
        <f>MAX(L12:L21)</f>
        <v>3.133320654241159E-2</v>
      </c>
    </row>
    <row r="23" spans="3:12" ht="15.75" x14ac:dyDescent="0.25">
      <c r="C23" s="323"/>
      <c r="D23" s="121"/>
      <c r="E23" s="121"/>
      <c r="F23" s="121"/>
      <c r="G23" s="324" t="s">
        <v>205</v>
      </c>
      <c r="H23" s="139">
        <f>AVERAGE(H12:H21)</f>
        <v>0.66666583816200709</v>
      </c>
      <c r="I23" s="121"/>
      <c r="J23" s="121"/>
      <c r="K23" s="121"/>
      <c r="L23" s="327"/>
    </row>
    <row r="24" spans="3:12" ht="18.75" x14ac:dyDescent="0.35">
      <c r="C24" s="323"/>
      <c r="D24" s="121"/>
      <c r="E24" s="121"/>
      <c r="F24" s="121"/>
      <c r="G24" s="121"/>
      <c r="H24" s="121"/>
      <c r="I24" s="121"/>
      <c r="J24" s="121"/>
      <c r="K24" s="328" t="s">
        <v>328</v>
      </c>
      <c r="L24" s="327"/>
    </row>
    <row r="25" spans="3:12" ht="16.5" thickBot="1" x14ac:dyDescent="0.3">
      <c r="C25" s="329"/>
      <c r="D25" s="330"/>
      <c r="E25" s="330"/>
      <c r="F25" s="330"/>
      <c r="G25" s="330"/>
      <c r="H25" s="330"/>
      <c r="I25" s="330"/>
      <c r="J25" s="330"/>
      <c r="K25" s="331" t="s">
        <v>327</v>
      </c>
      <c r="L25" s="332"/>
    </row>
    <row r="26" spans="3:12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503F-EE2B-4251-87D1-3FAEE708A5D7}">
  <dimension ref="A1:R192"/>
  <sheetViews>
    <sheetView topLeftCell="C176" zoomScale="85" zoomScaleNormal="85" workbookViewId="0">
      <selection activeCell="J155" sqref="J155"/>
    </sheetView>
  </sheetViews>
  <sheetFormatPr defaultRowHeight="15" x14ac:dyDescent="0.25"/>
  <cols>
    <col min="2" max="2" width="27.42578125" customWidth="1"/>
    <col min="3" max="3" width="13" customWidth="1"/>
    <col min="4" max="4" width="11.42578125" customWidth="1"/>
    <col min="5" max="5" width="10.85546875" customWidth="1"/>
    <col min="6" max="6" width="20.85546875" bestFit="1" customWidth="1"/>
    <col min="8" max="8" width="14.7109375" customWidth="1"/>
    <col min="10" max="10" width="24.7109375" customWidth="1"/>
    <col min="11" max="11" width="10.7109375" customWidth="1"/>
    <col min="12" max="12" width="15.85546875" customWidth="1"/>
    <col min="13" max="13" width="9.85546875" customWidth="1"/>
    <col min="14" max="14" width="9.5703125" customWidth="1"/>
    <col min="15" max="15" width="15.7109375" customWidth="1"/>
    <col min="16" max="16" width="18.140625" customWidth="1"/>
    <col min="17" max="17" width="16.7109375" customWidth="1"/>
  </cols>
  <sheetData>
    <row r="1" spans="1:5" x14ac:dyDescent="0.25">
      <c r="A1" t="s">
        <v>77</v>
      </c>
    </row>
    <row r="3" spans="1:5" ht="18" x14ac:dyDescent="0.25">
      <c r="B3" t="s">
        <v>83</v>
      </c>
      <c r="C3" s="44" t="s">
        <v>84</v>
      </c>
      <c r="D3">
        <v>10.69</v>
      </c>
      <c r="E3" t="s">
        <v>78</v>
      </c>
    </row>
    <row r="4" spans="1:5" x14ac:dyDescent="0.25">
      <c r="B4" t="s">
        <v>80</v>
      </c>
      <c r="C4" s="44"/>
    </row>
    <row r="5" spans="1:5" x14ac:dyDescent="0.25">
      <c r="A5" s="45">
        <v>1</v>
      </c>
      <c r="B5" t="s">
        <v>81</v>
      </c>
      <c r="C5" s="44" t="s">
        <v>84</v>
      </c>
      <c r="D5">
        <v>41</v>
      </c>
      <c r="E5" t="s">
        <v>85</v>
      </c>
    </row>
    <row r="6" spans="1:5" x14ac:dyDescent="0.25">
      <c r="A6" s="45">
        <v>2</v>
      </c>
      <c r="B6" t="s">
        <v>79</v>
      </c>
      <c r="C6" s="44" t="s">
        <v>84</v>
      </c>
      <c r="D6">
        <v>28.8</v>
      </c>
      <c r="E6" t="s">
        <v>85</v>
      </c>
    </row>
    <row r="7" spans="1:5" x14ac:dyDescent="0.25">
      <c r="A7" s="45">
        <v>3</v>
      </c>
      <c r="B7" t="s">
        <v>82</v>
      </c>
      <c r="C7" s="44" t="s">
        <v>84</v>
      </c>
      <c r="D7">
        <v>3</v>
      </c>
      <c r="E7" t="s">
        <v>85</v>
      </c>
    </row>
    <row r="8" spans="1:5" x14ac:dyDescent="0.25">
      <c r="A8" s="45">
        <v>4</v>
      </c>
      <c r="B8" t="s">
        <v>87</v>
      </c>
      <c r="C8" s="44" t="s">
        <v>84</v>
      </c>
      <c r="D8">
        <v>4.75</v>
      </c>
      <c r="E8" t="s">
        <v>86</v>
      </c>
    </row>
    <row r="9" spans="1:5" x14ac:dyDescent="0.25">
      <c r="A9" s="45">
        <v>5</v>
      </c>
      <c r="B9" t="s">
        <v>88</v>
      </c>
      <c r="C9" s="44" t="s">
        <v>84</v>
      </c>
      <c r="D9" s="35" t="s">
        <v>89</v>
      </c>
    </row>
    <row r="13" spans="1:5" x14ac:dyDescent="0.25">
      <c r="B13" t="s">
        <v>90</v>
      </c>
    </row>
    <row r="14" spans="1:5" x14ac:dyDescent="0.25">
      <c r="B14" t="s">
        <v>91</v>
      </c>
    </row>
    <row r="15" spans="1:5" x14ac:dyDescent="0.25">
      <c r="B15" t="s">
        <v>92</v>
      </c>
    </row>
    <row r="16" spans="1:5" x14ac:dyDescent="0.25">
      <c r="B16" t="s">
        <v>93</v>
      </c>
    </row>
    <row r="17" spans="1:18" x14ac:dyDescent="0.25">
      <c r="B17" t="s">
        <v>94</v>
      </c>
    </row>
    <row r="20" spans="1:18" x14ac:dyDescent="0.25">
      <c r="A20">
        <v>1</v>
      </c>
      <c r="B20" t="s">
        <v>95</v>
      </c>
    </row>
    <row r="30" spans="1:18" x14ac:dyDescent="0.25">
      <c r="R30" s="2"/>
    </row>
    <row r="31" spans="1:18" x14ac:dyDescent="0.25">
      <c r="J31" s="38"/>
    </row>
    <row r="32" spans="1:18" x14ac:dyDescent="0.25">
      <c r="B32" t="s">
        <v>97</v>
      </c>
      <c r="C32" s="46" t="s">
        <v>84</v>
      </c>
      <c r="D32" s="57"/>
    </row>
    <row r="34" spans="1:4" x14ac:dyDescent="0.25">
      <c r="A34">
        <v>2</v>
      </c>
      <c r="B34" t="s">
        <v>96</v>
      </c>
    </row>
    <row r="35" spans="1:4" x14ac:dyDescent="0.25">
      <c r="B35" t="s">
        <v>98</v>
      </c>
      <c r="C35" s="46" t="s">
        <v>84</v>
      </c>
      <c r="D35">
        <v>0.23</v>
      </c>
    </row>
    <row r="37" spans="1:4" x14ac:dyDescent="0.25">
      <c r="A37">
        <v>3</v>
      </c>
      <c r="B37" t="s">
        <v>99</v>
      </c>
    </row>
    <row r="71" spans="2:11" ht="15.75" thickBot="1" x14ac:dyDescent="0.3"/>
    <row r="72" spans="2:11" ht="15.75" thickBot="1" x14ac:dyDescent="0.3">
      <c r="I72" s="49" t="s">
        <v>36</v>
      </c>
      <c r="J72" s="50" t="s">
        <v>100</v>
      </c>
      <c r="K72" s="50" t="s">
        <v>101</v>
      </c>
    </row>
    <row r="73" spans="2:11" ht="15.75" thickBot="1" x14ac:dyDescent="0.3">
      <c r="I73" s="51">
        <v>1</v>
      </c>
      <c r="J73" s="52" t="s">
        <v>102</v>
      </c>
      <c r="K73" s="52">
        <v>0.4</v>
      </c>
    </row>
    <row r="74" spans="2:11" ht="15.75" thickBot="1" x14ac:dyDescent="0.3">
      <c r="I74" s="51">
        <v>2</v>
      </c>
      <c r="J74" s="52" t="s">
        <v>103</v>
      </c>
      <c r="K74" s="52">
        <v>1.4</v>
      </c>
    </row>
    <row r="75" spans="2:11" ht="15.75" thickBot="1" x14ac:dyDescent="0.3">
      <c r="I75" s="51">
        <v>3</v>
      </c>
      <c r="J75" s="52" t="s">
        <v>104</v>
      </c>
      <c r="K75" s="52">
        <v>3.1</v>
      </c>
    </row>
    <row r="76" spans="2:11" ht="15.75" thickBot="1" x14ac:dyDescent="0.3">
      <c r="I76" s="51">
        <v>4</v>
      </c>
      <c r="J76" s="52" t="s">
        <v>105</v>
      </c>
      <c r="K76" s="52">
        <v>6.8</v>
      </c>
    </row>
    <row r="77" spans="2:11" ht="15.75" thickBot="1" x14ac:dyDescent="0.3">
      <c r="I77" s="51">
        <v>5</v>
      </c>
      <c r="J77" s="52" t="s">
        <v>106</v>
      </c>
      <c r="K77" s="52">
        <v>9.5</v>
      </c>
    </row>
    <row r="78" spans="2:11" x14ac:dyDescent="0.25">
      <c r="C78" t="s">
        <v>109</v>
      </c>
      <c r="J78" t="s">
        <v>110</v>
      </c>
    </row>
    <row r="80" spans="2:11" x14ac:dyDescent="0.25">
      <c r="B80" t="s">
        <v>107</v>
      </c>
      <c r="C80" s="46" t="s">
        <v>84</v>
      </c>
      <c r="D80">
        <v>0.4</v>
      </c>
    </row>
    <row r="81" spans="1:11" x14ac:dyDescent="0.25">
      <c r="G81">
        <f>(0.4+1.4)/2</f>
        <v>0.89999999999999991</v>
      </c>
    </row>
    <row r="83" spans="1:11" x14ac:dyDescent="0.25">
      <c r="A83">
        <v>3</v>
      </c>
      <c r="B83" t="s">
        <v>108</v>
      </c>
    </row>
    <row r="85" spans="1:11" ht="15.75" thickBot="1" x14ac:dyDescent="0.3"/>
    <row r="86" spans="1:11" ht="15" customHeight="1" x14ac:dyDescent="0.25">
      <c r="I86" s="388" t="s">
        <v>36</v>
      </c>
      <c r="J86" s="388" t="s">
        <v>111</v>
      </c>
      <c r="K86" s="53" t="s">
        <v>112</v>
      </c>
    </row>
    <row r="87" spans="1:11" ht="15.75" thickBot="1" x14ac:dyDescent="0.3">
      <c r="I87" s="389"/>
      <c r="J87" s="389"/>
      <c r="K87" s="54" t="s">
        <v>113</v>
      </c>
    </row>
    <row r="88" spans="1:11" ht="15.75" thickBot="1" x14ac:dyDescent="0.3">
      <c r="I88" s="47">
        <v>1</v>
      </c>
      <c r="J88" s="55" t="s">
        <v>114</v>
      </c>
      <c r="K88" s="48">
        <v>0.01</v>
      </c>
    </row>
    <row r="89" spans="1:11" ht="15.75" thickBot="1" x14ac:dyDescent="0.3">
      <c r="I89" s="47">
        <v>2</v>
      </c>
      <c r="J89" s="55" t="s">
        <v>115</v>
      </c>
      <c r="K89" s="48">
        <v>0.01</v>
      </c>
    </row>
    <row r="90" spans="1:11" ht="15.75" thickBot="1" x14ac:dyDescent="0.3">
      <c r="I90" s="47">
        <v>3</v>
      </c>
      <c r="J90" s="55" t="s">
        <v>116</v>
      </c>
      <c r="K90" s="48">
        <v>0.3</v>
      </c>
    </row>
    <row r="91" spans="1:11" ht="26.25" thickBot="1" x14ac:dyDescent="0.3">
      <c r="I91" s="47">
        <v>4</v>
      </c>
      <c r="J91" s="55" t="s">
        <v>117</v>
      </c>
      <c r="K91" s="48">
        <v>0.19</v>
      </c>
    </row>
    <row r="92" spans="1:11" ht="15.75" thickBot="1" x14ac:dyDescent="0.3">
      <c r="I92" s="47">
        <v>5</v>
      </c>
      <c r="J92" s="55" t="s">
        <v>118</v>
      </c>
      <c r="K92" s="48">
        <v>0.28000000000000003</v>
      </c>
    </row>
    <row r="93" spans="1:11" ht="15.75" thickBot="1" x14ac:dyDescent="0.3">
      <c r="I93" s="47">
        <v>6</v>
      </c>
      <c r="J93" s="55" t="s">
        <v>119</v>
      </c>
      <c r="K93" s="48">
        <v>0.2</v>
      </c>
    </row>
    <row r="94" spans="1:11" ht="26.25" thickBot="1" x14ac:dyDescent="0.3">
      <c r="I94" s="47">
        <v>7</v>
      </c>
      <c r="J94" s="55" t="s">
        <v>120</v>
      </c>
      <c r="K94" s="48">
        <v>0.2</v>
      </c>
    </row>
    <row r="95" spans="1:11" ht="26.25" thickBot="1" x14ac:dyDescent="0.3">
      <c r="I95" s="47">
        <v>8</v>
      </c>
      <c r="J95" s="55" t="s">
        <v>121</v>
      </c>
      <c r="K95" s="48">
        <v>0.2</v>
      </c>
    </row>
    <row r="96" spans="1:11" ht="15.75" thickBot="1" x14ac:dyDescent="0.3">
      <c r="I96" s="47">
        <v>9</v>
      </c>
      <c r="J96" s="55" t="s">
        <v>122</v>
      </c>
      <c r="K96" s="48">
        <v>0.01</v>
      </c>
    </row>
    <row r="97" spans="9:11" ht="26.25" thickBot="1" x14ac:dyDescent="0.3">
      <c r="I97" s="47">
        <v>10</v>
      </c>
      <c r="J97" s="55" t="s">
        <v>123</v>
      </c>
      <c r="K97" s="48">
        <v>1E-3</v>
      </c>
    </row>
    <row r="98" spans="9:11" ht="26.25" thickBot="1" x14ac:dyDescent="0.3">
      <c r="I98" s="47">
        <v>11</v>
      </c>
      <c r="J98" s="55" t="s">
        <v>124</v>
      </c>
      <c r="K98" s="48">
        <v>5.0000000000000001E-3</v>
      </c>
    </row>
    <row r="99" spans="9:11" ht="15.75" thickBot="1" x14ac:dyDescent="0.3">
      <c r="I99" s="47">
        <v>12</v>
      </c>
      <c r="J99" s="55" t="s">
        <v>125</v>
      </c>
      <c r="K99" s="48">
        <v>0.02</v>
      </c>
    </row>
    <row r="100" spans="9:11" ht="15.75" thickBot="1" x14ac:dyDescent="0.3">
      <c r="I100" s="47">
        <v>13</v>
      </c>
      <c r="J100" s="55" t="s">
        <v>126</v>
      </c>
      <c r="K100" s="48">
        <v>0.7</v>
      </c>
    </row>
    <row r="101" spans="9:11" ht="26.25" thickBot="1" x14ac:dyDescent="0.3">
      <c r="I101" s="47">
        <v>14</v>
      </c>
      <c r="J101" s="55" t="s">
        <v>127</v>
      </c>
      <c r="K101" s="48">
        <v>1</v>
      </c>
    </row>
    <row r="102" spans="9:11" ht="15.75" thickBot="1" x14ac:dyDescent="0.3">
      <c r="I102" s="47">
        <v>15</v>
      </c>
      <c r="J102" s="55" t="s">
        <v>128</v>
      </c>
      <c r="K102" s="48" t="s">
        <v>129</v>
      </c>
    </row>
    <row r="104" spans="9:11" x14ac:dyDescent="0.25">
      <c r="J104" s="56" t="s">
        <v>130</v>
      </c>
    </row>
    <row r="126" spans="2:7" x14ac:dyDescent="0.25">
      <c r="C126" t="s">
        <v>131</v>
      </c>
    </row>
    <row r="128" spans="2:7" x14ac:dyDescent="0.25">
      <c r="B128" t="s">
        <v>132</v>
      </c>
      <c r="C128" s="46" t="s">
        <v>84</v>
      </c>
      <c r="D128" t="s">
        <v>134</v>
      </c>
      <c r="F128" s="43" t="s">
        <v>84</v>
      </c>
      <c r="G128" s="46">
        <v>0.3</v>
      </c>
    </row>
    <row r="129" spans="1:11" x14ac:dyDescent="0.25">
      <c r="D129" s="390" t="s">
        <v>133</v>
      </c>
      <c r="E129" s="390"/>
      <c r="F129" s="391" t="s">
        <v>84</v>
      </c>
      <c r="G129" s="391">
        <v>0.19</v>
      </c>
    </row>
    <row r="130" spans="1:11" x14ac:dyDescent="0.25">
      <c r="D130" s="390"/>
      <c r="E130" s="390"/>
      <c r="F130" s="391"/>
      <c r="G130" s="391"/>
    </row>
    <row r="131" spans="1:11" x14ac:dyDescent="0.25">
      <c r="D131" t="s">
        <v>135</v>
      </c>
      <c r="F131" s="46" t="s">
        <v>84</v>
      </c>
      <c r="G131" s="46">
        <v>1E-3</v>
      </c>
    </row>
    <row r="132" spans="1:11" x14ac:dyDescent="0.25">
      <c r="E132" s="35" t="s">
        <v>143</v>
      </c>
      <c r="F132" s="46" t="s">
        <v>84</v>
      </c>
      <c r="G132" s="46">
        <f>SUM(G128:G131)</f>
        <v>0.49099999999999999</v>
      </c>
    </row>
    <row r="135" spans="1:11" x14ac:dyDescent="0.25">
      <c r="A135">
        <v>4</v>
      </c>
      <c r="B135" t="s">
        <v>151</v>
      </c>
    </row>
    <row r="136" spans="1:11" x14ac:dyDescent="0.25">
      <c r="C136" t="s">
        <v>90</v>
      </c>
    </row>
    <row r="137" spans="1:11" x14ac:dyDescent="0.25">
      <c r="C137" s="362" t="s">
        <v>32</v>
      </c>
      <c r="D137" s="386" t="s">
        <v>141</v>
      </c>
      <c r="E137" s="384" t="s">
        <v>142</v>
      </c>
      <c r="F137" s="384" t="s">
        <v>136</v>
      </c>
      <c r="G137" s="384" t="s">
        <v>143</v>
      </c>
      <c r="H137" s="65" t="s">
        <v>144</v>
      </c>
    </row>
    <row r="138" spans="1:11" x14ac:dyDescent="0.25">
      <c r="C138" s="362"/>
      <c r="D138" s="387"/>
      <c r="E138" s="385"/>
      <c r="F138" s="385"/>
      <c r="G138" s="385"/>
      <c r="H138" s="66" t="s">
        <v>150</v>
      </c>
    </row>
    <row r="139" spans="1:11" x14ac:dyDescent="0.25">
      <c r="C139" s="58">
        <v>2010</v>
      </c>
      <c r="D139" s="59">
        <f>'curah hujan sta cengklik'!R18</f>
        <v>2078.6386398837349</v>
      </c>
      <c r="E139" s="77">
        <v>0.23</v>
      </c>
      <c r="F139" s="77">
        <v>0.4</v>
      </c>
      <c r="G139" s="77">
        <v>0.49099999999999999</v>
      </c>
      <c r="H139" s="60">
        <f>D139*E139*F139*G139</f>
        <v>93.896264640828079</v>
      </c>
    </row>
    <row r="140" spans="1:11" x14ac:dyDescent="0.25">
      <c r="C140" s="58">
        <v>2011</v>
      </c>
      <c r="D140" s="59">
        <f>'curah hujan sta cengklik'!R19</f>
        <v>1196.8013376334907</v>
      </c>
      <c r="E140" s="299">
        <v>0.23</v>
      </c>
      <c r="F140" s="103">
        <v>0.4</v>
      </c>
      <c r="G140" s="77">
        <v>0.49099999999999999</v>
      </c>
      <c r="H140" s="60">
        <f t="shared" ref="H140:H148" si="0">D140*E140*F140*G140</f>
        <v>54.06191002358004</v>
      </c>
    </row>
    <row r="141" spans="1:11" x14ac:dyDescent="0.25">
      <c r="C141" s="58">
        <v>2012</v>
      </c>
      <c r="D141" s="59">
        <f>'curah hujan sta cengklik'!R20</f>
        <v>1450.2165810272706</v>
      </c>
      <c r="E141" s="299">
        <v>0.23</v>
      </c>
      <c r="F141" s="103">
        <v>0.4</v>
      </c>
      <c r="G141" s="77">
        <v>0.49099999999999999</v>
      </c>
      <c r="H141" s="60">
        <f t="shared" si="0"/>
        <v>65.509183398163884</v>
      </c>
      <c r="J141" t="s">
        <v>308</v>
      </c>
      <c r="K141" s="25">
        <f>SUM(H139:H148)</f>
        <v>666.97795688579038</v>
      </c>
    </row>
    <row r="142" spans="1:11" x14ac:dyDescent="0.25">
      <c r="C142" s="58">
        <v>2013</v>
      </c>
      <c r="D142" s="59">
        <f>'curah hujan sta cengklik'!R21</f>
        <v>1782.5582588051943</v>
      </c>
      <c r="E142" s="299">
        <v>0.23</v>
      </c>
      <c r="F142" s="103">
        <v>0.4</v>
      </c>
      <c r="G142" s="77">
        <v>0.49099999999999999</v>
      </c>
      <c r="H142" s="60">
        <f t="shared" si="0"/>
        <v>80.521721666748249</v>
      </c>
      <c r="J142" t="s">
        <v>309</v>
      </c>
      <c r="K142" s="25">
        <f>SUM(H139:H148)/10</f>
        <v>66.697795688579035</v>
      </c>
    </row>
    <row r="143" spans="1:11" x14ac:dyDescent="0.25">
      <c r="C143" s="58">
        <v>2014</v>
      </c>
      <c r="D143" s="59">
        <f>'curah hujan sta cengklik'!R22</f>
        <v>1182.2421883815878</v>
      </c>
      <c r="E143" s="299">
        <v>0.23</v>
      </c>
      <c r="F143" s="103">
        <v>0.4</v>
      </c>
      <c r="G143" s="77">
        <v>0.49099999999999999</v>
      </c>
      <c r="H143" s="60">
        <f t="shared" si="0"/>
        <v>53.404244133573087</v>
      </c>
    </row>
    <row r="144" spans="1:11" x14ac:dyDescent="0.25">
      <c r="C144" s="58">
        <v>2015</v>
      </c>
      <c r="D144" s="59">
        <f>'curah hujan sta cengklik'!R23</f>
        <v>762.20222367137342</v>
      </c>
      <c r="E144" s="299">
        <v>0.23</v>
      </c>
      <c r="F144" s="103">
        <v>0.4</v>
      </c>
      <c r="G144" s="77">
        <v>0.49099999999999999</v>
      </c>
      <c r="H144" s="60">
        <f t="shared" si="0"/>
        <v>34.430198847683279</v>
      </c>
    </row>
    <row r="145" spans="1:10" x14ac:dyDescent="0.25">
      <c r="C145" s="58">
        <v>2016</v>
      </c>
      <c r="D145" s="59">
        <f>'curah hujan sta cengklik'!R24</f>
        <v>1510.0607766863172</v>
      </c>
      <c r="E145" s="299">
        <v>0.23</v>
      </c>
      <c r="F145" s="103">
        <v>0.4</v>
      </c>
      <c r="G145" s="77">
        <v>0.49099999999999999</v>
      </c>
      <c r="H145" s="60">
        <f t="shared" si="0"/>
        <v>68.212465404474315</v>
      </c>
    </row>
    <row r="146" spans="1:10" x14ac:dyDescent="0.25">
      <c r="C146" s="58">
        <v>2017</v>
      </c>
      <c r="D146" s="59">
        <f>'curah hujan sta cengklik'!R25</f>
        <v>2447.0938944074501</v>
      </c>
      <c r="E146" s="299">
        <v>0.23</v>
      </c>
      <c r="F146" s="103">
        <v>0.4</v>
      </c>
      <c r="G146" s="77">
        <v>0.49099999999999999</v>
      </c>
      <c r="H146" s="60">
        <f t="shared" si="0"/>
        <v>110.54012539817334</v>
      </c>
    </row>
    <row r="147" spans="1:10" x14ac:dyDescent="0.25">
      <c r="C147" s="58">
        <v>2018</v>
      </c>
      <c r="D147" s="59">
        <f>'curah hujan sta cengklik'!R26</f>
        <v>868.33624367341793</v>
      </c>
      <c r="E147" s="299">
        <v>0.23</v>
      </c>
      <c r="F147" s="103">
        <v>0.4</v>
      </c>
      <c r="G147" s="77">
        <v>0.49099999999999999</v>
      </c>
      <c r="H147" s="60">
        <f t="shared" si="0"/>
        <v>39.224484799215638</v>
      </c>
    </row>
    <row r="148" spans="1:10" x14ac:dyDescent="0.25">
      <c r="C148" s="58">
        <v>2019</v>
      </c>
      <c r="D148" s="59">
        <f>'curah hujan sta cengklik'!R27</f>
        <v>1487.1459880755885</v>
      </c>
      <c r="E148" s="299">
        <v>0.23</v>
      </c>
      <c r="F148" s="103">
        <v>0.4</v>
      </c>
      <c r="G148" s="77">
        <v>0.49099999999999999</v>
      </c>
      <c r="H148" s="60">
        <f t="shared" si="0"/>
        <v>67.177358573350489</v>
      </c>
    </row>
    <row r="150" spans="1:10" x14ac:dyDescent="0.25">
      <c r="A150">
        <v>5</v>
      </c>
      <c r="B150" t="s">
        <v>145</v>
      </c>
    </row>
    <row r="151" spans="1:10" ht="18" x14ac:dyDescent="0.25">
      <c r="C151" t="s">
        <v>147</v>
      </c>
      <c r="D151" s="90" t="s">
        <v>84</v>
      </c>
      <c r="E151">
        <f>D3</f>
        <v>10.69</v>
      </c>
      <c r="F151" t="s">
        <v>78</v>
      </c>
      <c r="G151" s="90" t="s">
        <v>84</v>
      </c>
      <c r="H151">
        <f>E151*100</f>
        <v>1069</v>
      </c>
      <c r="I151" t="s">
        <v>228</v>
      </c>
    </row>
    <row r="152" spans="1:10" x14ac:dyDescent="0.25">
      <c r="C152" t="s">
        <v>227</v>
      </c>
    </row>
    <row r="153" spans="1:10" ht="18" x14ac:dyDescent="0.25">
      <c r="C153" s="96" t="s">
        <v>148</v>
      </c>
      <c r="E153" s="3"/>
    </row>
    <row r="154" spans="1:10" x14ac:dyDescent="0.25">
      <c r="C154" t="s">
        <v>146</v>
      </c>
      <c r="D154" s="90" t="s">
        <v>84</v>
      </c>
      <c r="E154" s="61">
        <f>-0.02+(0.385*((E151)^-0.2))</f>
        <v>0.21969842945240639</v>
      </c>
      <c r="G154">
        <f>E154*100</f>
        <v>21.969842945240639</v>
      </c>
    </row>
    <row r="155" spans="1:10" x14ac:dyDescent="0.25">
      <c r="C155" t="s">
        <v>230</v>
      </c>
      <c r="J155" s="293"/>
    </row>
    <row r="156" spans="1:10" ht="18" customHeight="1" x14ac:dyDescent="0.25">
      <c r="C156" t="s">
        <v>149</v>
      </c>
      <c r="I156" s="61"/>
    </row>
    <row r="157" spans="1:10" ht="15.75" customHeight="1" x14ac:dyDescent="0.25">
      <c r="C157" s="384" t="s">
        <v>32</v>
      </c>
      <c r="D157" s="384" t="s">
        <v>144</v>
      </c>
      <c r="E157" s="384" t="s">
        <v>146</v>
      </c>
      <c r="F157" s="63" t="s">
        <v>326</v>
      </c>
    </row>
    <row r="158" spans="1:10" x14ac:dyDescent="0.25">
      <c r="C158" s="385"/>
      <c r="D158" s="385"/>
      <c r="E158" s="385"/>
      <c r="F158" s="64" t="s">
        <v>150</v>
      </c>
    </row>
    <row r="159" spans="1:10" x14ac:dyDescent="0.25">
      <c r="C159" s="77">
        <v>2010</v>
      </c>
      <c r="D159" s="60">
        <f t="shared" ref="D159:D168" si="1">H139</f>
        <v>93.896264640828079</v>
      </c>
      <c r="E159" s="62">
        <f t="shared" ref="E159:E168" si="2">$E$154</f>
        <v>0.21969842945240639</v>
      </c>
      <c r="F159" s="62">
        <f>D159*E159</f>
        <v>20.628861873037447</v>
      </c>
    </row>
    <row r="160" spans="1:10" x14ac:dyDescent="0.25">
      <c r="C160" s="77">
        <v>2011</v>
      </c>
      <c r="D160" s="60">
        <f t="shared" si="1"/>
        <v>54.06191002358004</v>
      </c>
      <c r="E160" s="62">
        <f t="shared" si="2"/>
        <v>0.21969842945240639</v>
      </c>
      <c r="F160" s="62">
        <f t="shared" ref="F160:F168" si="3">D160*E160</f>
        <v>11.877316725377842</v>
      </c>
    </row>
    <row r="161" spans="3:15" x14ac:dyDescent="0.25">
      <c r="C161" s="77">
        <v>2012</v>
      </c>
      <c r="D161" s="60">
        <f t="shared" si="1"/>
        <v>65.509183398163884</v>
      </c>
      <c r="E161" s="62">
        <f t="shared" si="2"/>
        <v>0.21969842945240639</v>
      </c>
      <c r="F161" s="62">
        <f t="shared" si="3"/>
        <v>14.392264707286261</v>
      </c>
    </row>
    <row r="162" spans="3:15" x14ac:dyDescent="0.25">
      <c r="C162" s="77">
        <v>2013</v>
      </c>
      <c r="D162" s="60">
        <f t="shared" si="1"/>
        <v>80.521721666748249</v>
      </c>
      <c r="E162" s="62">
        <f t="shared" si="2"/>
        <v>0.21969842945240639</v>
      </c>
      <c r="F162" s="62">
        <f t="shared" si="3"/>
        <v>17.690495786988393</v>
      </c>
    </row>
    <row r="163" spans="3:15" x14ac:dyDescent="0.25">
      <c r="C163" s="77">
        <v>2014</v>
      </c>
      <c r="D163" s="60">
        <f t="shared" si="1"/>
        <v>53.404244133573087</v>
      </c>
      <c r="E163" s="62">
        <f t="shared" si="2"/>
        <v>0.21969842945240639</v>
      </c>
      <c r="F163" s="62">
        <f t="shared" si="3"/>
        <v>11.732828562238895</v>
      </c>
    </row>
    <row r="164" spans="3:15" x14ac:dyDescent="0.25">
      <c r="C164" s="77">
        <v>2015</v>
      </c>
      <c r="D164" s="60">
        <f t="shared" si="1"/>
        <v>34.430198847683279</v>
      </c>
      <c r="E164" s="62">
        <f t="shared" si="2"/>
        <v>0.21969842945240639</v>
      </c>
      <c r="F164" s="62">
        <f t="shared" si="3"/>
        <v>7.5642606125700684</v>
      </c>
    </row>
    <row r="165" spans="3:15" x14ac:dyDescent="0.25">
      <c r="C165" s="77">
        <v>2016</v>
      </c>
      <c r="D165" s="60">
        <f t="shared" si="1"/>
        <v>68.212465404474315</v>
      </c>
      <c r="E165" s="62">
        <f t="shared" si="2"/>
        <v>0.21969842945240639</v>
      </c>
      <c r="F165" s="62">
        <f t="shared" si="3"/>
        <v>14.986171518439612</v>
      </c>
    </row>
    <row r="166" spans="3:15" x14ac:dyDescent="0.25">
      <c r="C166" s="77">
        <v>2017</v>
      </c>
      <c r="D166" s="60">
        <f t="shared" si="1"/>
        <v>110.54012539817334</v>
      </c>
      <c r="E166" s="62">
        <f t="shared" si="2"/>
        <v>0.21969842945240639</v>
      </c>
      <c r="F166" s="62">
        <f t="shared" si="3"/>
        <v>24.285491941450744</v>
      </c>
    </row>
    <row r="167" spans="3:15" x14ac:dyDescent="0.25">
      <c r="C167" s="77">
        <v>2018</v>
      </c>
      <c r="D167" s="60">
        <f t="shared" si="1"/>
        <v>39.224484799215638</v>
      </c>
      <c r="E167" s="62">
        <f t="shared" si="2"/>
        <v>0.21969842945240639</v>
      </c>
      <c r="F167" s="62">
        <f t="shared" si="3"/>
        <v>8.6175577064674638</v>
      </c>
    </row>
    <row r="168" spans="3:15" x14ac:dyDescent="0.25">
      <c r="C168" s="77">
        <v>2019</v>
      </c>
      <c r="D168" s="60">
        <f t="shared" si="1"/>
        <v>67.177358573350489</v>
      </c>
      <c r="E168" s="62">
        <f t="shared" si="2"/>
        <v>0.21969842945240639</v>
      </c>
      <c r="F168" s="62">
        <f t="shared" si="3"/>
        <v>14.75876017332625</v>
      </c>
    </row>
    <row r="170" spans="3:15" x14ac:dyDescent="0.25">
      <c r="C170" t="s">
        <v>251</v>
      </c>
      <c r="E170" s="97" t="s">
        <v>84</v>
      </c>
      <c r="F170" s="104">
        <f>SUM(F159:F168)/10</f>
        <v>14.653400960718296</v>
      </c>
    </row>
    <row r="172" spans="3:15" x14ac:dyDescent="0.25">
      <c r="C172" t="s">
        <v>229</v>
      </c>
    </row>
    <row r="173" spans="3:15" x14ac:dyDescent="0.25">
      <c r="C173" t="s">
        <v>225</v>
      </c>
      <c r="E173" t="s">
        <v>226</v>
      </c>
    </row>
    <row r="174" spans="3:15" ht="15.75" x14ac:dyDescent="0.25">
      <c r="L174" s="219"/>
      <c r="M174" s="219"/>
      <c r="N174" s="219"/>
      <c r="O174" s="217"/>
    </row>
    <row r="175" spans="3:15" ht="15.75" x14ac:dyDescent="0.25">
      <c r="C175" s="394" t="s">
        <v>32</v>
      </c>
      <c r="D175" s="394" t="s">
        <v>231</v>
      </c>
      <c r="E175" s="396" t="s">
        <v>232</v>
      </c>
      <c r="F175" s="113" t="s">
        <v>224</v>
      </c>
      <c r="L175" s="219"/>
      <c r="M175" s="219"/>
      <c r="N175" s="219"/>
      <c r="O175" s="217"/>
    </row>
    <row r="176" spans="3:15" ht="15.75" x14ac:dyDescent="0.25">
      <c r="C176" s="395"/>
      <c r="D176" s="395"/>
      <c r="E176" s="397"/>
      <c r="F176" s="114" t="s">
        <v>305</v>
      </c>
      <c r="L176" s="217"/>
      <c r="M176" s="218"/>
      <c r="N176" s="217"/>
      <c r="O176" s="218"/>
    </row>
    <row r="177" spans="3:17" ht="15.75" x14ac:dyDescent="0.25">
      <c r="C177" s="115">
        <v>2010</v>
      </c>
      <c r="D177" s="116">
        <f t="shared" ref="D177:D186" si="4">F159</f>
        <v>20.628861873037447</v>
      </c>
      <c r="E177" s="117">
        <f>$H$151</f>
        <v>1069</v>
      </c>
      <c r="F177" s="118">
        <f>D177*E177</f>
        <v>22052.253342277032</v>
      </c>
      <c r="L177" s="217"/>
      <c r="M177" s="218"/>
      <c r="N177" s="217"/>
      <c r="O177" s="218"/>
    </row>
    <row r="178" spans="3:17" ht="15.75" x14ac:dyDescent="0.25">
      <c r="C178" s="115">
        <v>2011</v>
      </c>
      <c r="D178" s="116">
        <f t="shared" si="4"/>
        <v>11.877316725377842</v>
      </c>
      <c r="E178" s="117">
        <f t="shared" ref="E178:E186" si="5">$H$151</f>
        <v>1069</v>
      </c>
      <c r="F178" s="118">
        <f t="shared" ref="F178:F186" si="6">D178*E178</f>
        <v>12696.851579428912</v>
      </c>
      <c r="L178" s="217"/>
      <c r="M178" s="218"/>
      <c r="N178" s="217"/>
      <c r="O178" s="218"/>
    </row>
    <row r="179" spans="3:17" ht="15.75" x14ac:dyDescent="0.25">
      <c r="C179" s="115">
        <v>2012</v>
      </c>
      <c r="D179" s="116">
        <f t="shared" si="4"/>
        <v>14.392264707286261</v>
      </c>
      <c r="E179" s="117">
        <f t="shared" si="5"/>
        <v>1069</v>
      </c>
      <c r="F179" s="118">
        <f t="shared" si="6"/>
        <v>15385.330972089012</v>
      </c>
      <c r="L179" s="217"/>
      <c r="M179" s="218"/>
      <c r="N179" s="217"/>
      <c r="O179" s="218"/>
    </row>
    <row r="180" spans="3:17" ht="15.75" x14ac:dyDescent="0.25">
      <c r="C180" s="115">
        <v>2013</v>
      </c>
      <c r="D180" s="116">
        <f t="shared" si="4"/>
        <v>17.690495786988393</v>
      </c>
      <c r="E180" s="117">
        <f t="shared" si="5"/>
        <v>1069</v>
      </c>
      <c r="F180" s="118">
        <f t="shared" si="6"/>
        <v>18911.139996290593</v>
      </c>
      <c r="L180" s="217"/>
      <c r="M180" s="218"/>
      <c r="N180" s="392"/>
      <c r="O180" s="393"/>
      <c r="P180" s="392"/>
      <c r="Q180" s="117"/>
    </row>
    <row r="181" spans="3:17" ht="15.75" x14ac:dyDescent="0.25">
      <c r="C181" s="115">
        <v>2014</v>
      </c>
      <c r="D181" s="116">
        <f t="shared" si="4"/>
        <v>11.732828562238895</v>
      </c>
      <c r="E181" s="117">
        <f t="shared" si="5"/>
        <v>1069</v>
      </c>
      <c r="F181" s="118">
        <f t="shared" si="6"/>
        <v>12542.393733033379</v>
      </c>
      <c r="L181" s="217"/>
      <c r="M181" s="218"/>
      <c r="N181" s="392"/>
      <c r="O181" s="393"/>
      <c r="P181" s="392"/>
      <c r="Q181" s="117"/>
    </row>
    <row r="182" spans="3:17" ht="15.75" x14ac:dyDescent="0.25">
      <c r="C182" s="115">
        <v>2015</v>
      </c>
      <c r="D182" s="116">
        <f t="shared" si="4"/>
        <v>7.5642606125700684</v>
      </c>
      <c r="E182" s="117">
        <f t="shared" si="5"/>
        <v>1069</v>
      </c>
      <c r="F182" s="118">
        <f t="shared" si="6"/>
        <v>8086.1945948374032</v>
      </c>
      <c r="L182" s="217"/>
      <c r="M182" s="218"/>
      <c r="N182" s="117"/>
      <c r="O182" s="300"/>
      <c r="P182" s="117"/>
      <c r="Q182" s="300"/>
    </row>
    <row r="183" spans="3:17" ht="15.75" x14ac:dyDescent="0.25">
      <c r="C183" s="115">
        <v>2016</v>
      </c>
      <c r="D183" s="116">
        <f t="shared" si="4"/>
        <v>14.986171518439612</v>
      </c>
      <c r="E183" s="117">
        <f t="shared" si="5"/>
        <v>1069</v>
      </c>
      <c r="F183" s="118">
        <f t="shared" si="6"/>
        <v>16020.217353211945</v>
      </c>
      <c r="L183" s="217"/>
      <c r="M183" s="218"/>
      <c r="N183" s="117"/>
      <c r="O183" s="300"/>
      <c r="P183" s="117"/>
      <c r="Q183" s="300"/>
    </row>
    <row r="184" spans="3:17" ht="15.75" x14ac:dyDescent="0.25">
      <c r="C184" s="115">
        <v>2017</v>
      </c>
      <c r="D184" s="116">
        <f t="shared" si="4"/>
        <v>24.285491941450744</v>
      </c>
      <c r="E184" s="117">
        <f t="shared" si="5"/>
        <v>1069</v>
      </c>
      <c r="F184" s="118">
        <f t="shared" si="6"/>
        <v>25961.190885410844</v>
      </c>
      <c r="L184" s="217"/>
      <c r="M184" s="218"/>
      <c r="N184" s="117"/>
      <c r="O184" s="300"/>
      <c r="P184" s="117"/>
      <c r="Q184" s="300"/>
    </row>
    <row r="185" spans="3:17" ht="15.75" x14ac:dyDescent="0.25">
      <c r="C185" s="115">
        <v>2018</v>
      </c>
      <c r="D185" s="116">
        <f t="shared" si="4"/>
        <v>8.6175577064674638</v>
      </c>
      <c r="E185" s="117">
        <f t="shared" si="5"/>
        <v>1069</v>
      </c>
      <c r="F185" s="118">
        <f t="shared" si="6"/>
        <v>9212.1691882137184</v>
      </c>
      <c r="L185" s="217"/>
      <c r="M185" s="218"/>
      <c r="N185" s="117"/>
      <c r="O185" s="300"/>
      <c r="P185" s="117"/>
      <c r="Q185" s="300"/>
    </row>
    <row r="186" spans="3:17" ht="15.75" x14ac:dyDescent="0.25">
      <c r="C186" s="115">
        <v>2019</v>
      </c>
      <c r="D186" s="116">
        <f t="shared" si="4"/>
        <v>14.75876017332625</v>
      </c>
      <c r="E186" s="117">
        <f t="shared" si="5"/>
        <v>1069</v>
      </c>
      <c r="F186" s="118">
        <f t="shared" si="6"/>
        <v>15777.114625285762</v>
      </c>
      <c r="N186" s="117"/>
      <c r="O186" s="300"/>
      <c r="P186" s="117"/>
      <c r="Q186" s="300"/>
    </row>
    <row r="187" spans="3:17" ht="15.75" x14ac:dyDescent="0.25">
      <c r="C187" s="119"/>
      <c r="D187" s="119"/>
      <c r="E187" s="120" t="s">
        <v>39</v>
      </c>
      <c r="F187" s="118">
        <f>SUM(F177:F186)</f>
        <v>156644.8562700786</v>
      </c>
      <c r="N187" s="117"/>
      <c r="O187" s="300"/>
      <c r="P187" s="117"/>
      <c r="Q187" s="300"/>
    </row>
    <row r="188" spans="3:17" ht="15.75" x14ac:dyDescent="0.25">
      <c r="N188" s="117"/>
      <c r="O188" s="300"/>
      <c r="P188" s="117"/>
      <c r="Q188" s="300"/>
    </row>
    <row r="189" spans="3:17" ht="15.75" x14ac:dyDescent="0.25">
      <c r="C189" t="s">
        <v>252</v>
      </c>
      <c r="E189" s="97" t="s">
        <v>84</v>
      </c>
      <c r="F189" s="301">
        <f>F187/10</f>
        <v>15664.48562700786</v>
      </c>
      <c r="N189" s="117"/>
      <c r="O189" s="300"/>
      <c r="P189" s="117"/>
      <c r="Q189" s="300"/>
    </row>
    <row r="190" spans="3:17" ht="15.75" x14ac:dyDescent="0.25">
      <c r="N190" s="117"/>
      <c r="O190" s="300"/>
      <c r="P190" s="117"/>
      <c r="Q190" s="300"/>
    </row>
    <row r="191" spans="3:17" ht="15.75" x14ac:dyDescent="0.25">
      <c r="N191" s="117"/>
      <c r="O191" s="300"/>
      <c r="P191" s="117"/>
      <c r="Q191" s="300"/>
    </row>
    <row r="192" spans="3:17" x14ac:dyDescent="0.25">
      <c r="Q192" s="25"/>
    </row>
  </sheetData>
  <mergeCells count="19">
    <mergeCell ref="N180:N181"/>
    <mergeCell ref="O180:O181"/>
    <mergeCell ref="P180:P181"/>
    <mergeCell ref="C175:C176"/>
    <mergeCell ref="D175:D176"/>
    <mergeCell ref="E175:E176"/>
    <mergeCell ref="F137:F138"/>
    <mergeCell ref="G137:G138"/>
    <mergeCell ref="J86:J87"/>
    <mergeCell ref="I86:I87"/>
    <mergeCell ref="D129:E130"/>
    <mergeCell ref="F129:F130"/>
    <mergeCell ref="G129:G130"/>
    <mergeCell ref="C157:C158"/>
    <mergeCell ref="D157:D158"/>
    <mergeCell ref="E157:E158"/>
    <mergeCell ref="C137:C138"/>
    <mergeCell ref="D137:D138"/>
    <mergeCell ref="E137:E138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 sizeWithCells="1">
              <from>
                <xdr:col>1</xdr:col>
                <xdr:colOff>0</xdr:colOff>
                <xdr:row>20</xdr:row>
                <xdr:rowOff>0</xdr:rowOff>
              </from>
              <to>
                <xdr:col>2</xdr:col>
                <xdr:colOff>323850</xdr:colOff>
                <xdr:row>24</xdr:row>
                <xdr:rowOff>47625</xdr:rowOff>
              </to>
            </anchor>
          </objectPr>
        </oleObject>
      </mc:Choice>
      <mc:Fallback>
        <oleObject progId="Equation.3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61733-D983-4E75-BC4E-8C4A2BF168BF}">
  <dimension ref="A1:AD122"/>
  <sheetViews>
    <sheetView tabSelected="1" topLeftCell="A94" workbookViewId="0">
      <selection activeCell="P19" sqref="P19"/>
    </sheetView>
  </sheetViews>
  <sheetFormatPr defaultRowHeight="15.75" x14ac:dyDescent="0.25"/>
  <cols>
    <col min="1" max="1" width="9.28515625" style="121" bestFit="1" customWidth="1"/>
    <col min="2" max="2" width="13.5703125" style="121" customWidth="1"/>
    <col min="3" max="3" width="16.5703125" style="121" customWidth="1"/>
    <col min="4" max="4" width="11.85546875" style="121" customWidth="1"/>
    <col min="5" max="5" width="15.5703125" style="121" customWidth="1"/>
    <col min="6" max="6" width="14.28515625" style="121" customWidth="1"/>
    <col min="7" max="7" width="13.85546875" style="121" customWidth="1"/>
    <col min="8" max="9" width="9.140625" style="121" customWidth="1"/>
    <col min="10" max="10" width="12.28515625" style="121" customWidth="1"/>
    <col min="11" max="13" width="9.140625" style="121"/>
    <col min="14" max="14" width="9.5703125" style="121" bestFit="1" customWidth="1"/>
    <col min="15" max="15" width="9.28515625" style="121" bestFit="1" customWidth="1"/>
    <col min="16" max="17" width="9.140625" style="121"/>
    <col min="18" max="18" width="10.140625" style="121" bestFit="1" customWidth="1"/>
    <col min="19" max="22" width="9.140625" style="121"/>
    <col min="23" max="30" width="9.28515625" style="121" bestFit="1" customWidth="1"/>
    <col min="31" max="16384" width="9.140625" style="121"/>
  </cols>
  <sheetData>
    <row r="1" spans="1:30" x14ac:dyDescent="0.25">
      <c r="B1" s="121" t="s">
        <v>160</v>
      </c>
    </row>
    <row r="2" spans="1:30" x14ac:dyDescent="0.25">
      <c r="A2" s="121">
        <v>1</v>
      </c>
      <c r="B2" s="121" t="s">
        <v>235</v>
      </c>
      <c r="O2" s="122"/>
      <c r="W2" s="69" t="s">
        <v>155</v>
      </c>
      <c r="X2" s="69"/>
      <c r="Y2" s="69"/>
      <c r="Z2" s="69"/>
      <c r="AA2" s="69"/>
      <c r="AB2" s="69"/>
    </row>
    <row r="3" spans="1:30" ht="18.75" x14ac:dyDescent="0.25">
      <c r="B3" s="121" t="s">
        <v>161</v>
      </c>
      <c r="E3" s="121" t="s">
        <v>261</v>
      </c>
      <c r="H3" s="121" t="s">
        <v>162</v>
      </c>
      <c r="L3" s="122" t="s">
        <v>163</v>
      </c>
      <c r="M3" s="122"/>
      <c r="N3" s="122"/>
      <c r="O3" s="122"/>
    </row>
    <row r="4" spans="1:30" ht="20.25" x14ac:dyDescent="0.35">
      <c r="E4" s="121" t="s">
        <v>262</v>
      </c>
      <c r="H4" s="121" t="s">
        <v>263</v>
      </c>
      <c r="L4" s="121" t="s">
        <v>178</v>
      </c>
      <c r="N4" s="123" t="s">
        <v>84</v>
      </c>
      <c r="O4" s="124">
        <v>10.69</v>
      </c>
      <c r="P4" s="121" t="s">
        <v>264</v>
      </c>
      <c r="Q4" s="123" t="s">
        <v>84</v>
      </c>
      <c r="R4" s="121">
        <f>O4*1000000</f>
        <v>10690000</v>
      </c>
      <c r="S4" s="121" t="s">
        <v>265</v>
      </c>
      <c r="W4" s="125" t="s">
        <v>153</v>
      </c>
      <c r="X4" s="125" t="s">
        <v>156</v>
      </c>
      <c r="Y4" s="125" t="s">
        <v>179</v>
      </c>
      <c r="Z4" s="125" t="s">
        <v>154</v>
      </c>
      <c r="AA4" s="125" t="s">
        <v>180</v>
      </c>
      <c r="AB4" s="125" t="s">
        <v>181</v>
      </c>
      <c r="AC4" s="125" t="s">
        <v>182</v>
      </c>
      <c r="AD4" s="125" t="s">
        <v>183</v>
      </c>
    </row>
    <row r="5" spans="1:30" ht="20.25" x14ac:dyDescent="0.35">
      <c r="B5" s="121" t="s">
        <v>266</v>
      </c>
      <c r="E5" s="121" t="s">
        <v>267</v>
      </c>
      <c r="W5" s="126">
        <v>1.01</v>
      </c>
      <c r="X5" s="126">
        <v>99</v>
      </c>
      <c r="Y5" s="126">
        <v>1.9990298972569132</v>
      </c>
      <c r="Z5" s="126">
        <v>-2.2589799955644048</v>
      </c>
      <c r="AA5" s="126">
        <v>0.11658363203347751</v>
      </c>
      <c r="AB5" s="126">
        <v>-0.26336009257386722</v>
      </c>
      <c r="AC5" s="126">
        <v>1.7356698046830459</v>
      </c>
      <c r="AD5" s="127">
        <v>54.408882328073595</v>
      </c>
    </row>
    <row r="6" spans="1:30" ht="18.75" x14ac:dyDescent="0.35">
      <c r="E6" s="121" t="s">
        <v>268</v>
      </c>
      <c r="W6" s="128">
        <v>2</v>
      </c>
      <c r="X6" s="126">
        <v>50</v>
      </c>
      <c r="Y6" s="126">
        <v>1.9990298972569132</v>
      </c>
      <c r="Z6" s="126">
        <v>-0.84562270294246455</v>
      </c>
      <c r="AA6" s="126">
        <v>0.11658363203347751</v>
      </c>
      <c r="AB6" s="126">
        <v>-9.8585766038998948E-2</v>
      </c>
      <c r="AC6" s="126">
        <v>1.9004441312179141</v>
      </c>
      <c r="AD6" s="127">
        <v>79.514096993229614</v>
      </c>
    </row>
    <row r="7" spans="1:30" ht="18.75" x14ac:dyDescent="0.35">
      <c r="E7" s="121" t="s">
        <v>269</v>
      </c>
      <c r="W7" s="128">
        <v>5</v>
      </c>
      <c r="X7" s="126">
        <v>20</v>
      </c>
      <c r="Y7" s="126">
        <v>1.9990298972569132</v>
      </c>
      <c r="Z7" s="126">
        <v>-1.4943649637666466E-2</v>
      </c>
      <c r="AA7" s="126">
        <v>0.11658363203347751</v>
      </c>
      <c r="AB7" s="126">
        <v>-1.7421849505949167E-3</v>
      </c>
      <c r="AC7" s="126">
        <v>1.9972877123063182</v>
      </c>
      <c r="AD7" s="127">
        <v>99.377418797281294</v>
      </c>
    </row>
    <row r="8" spans="1:30" x14ac:dyDescent="0.25">
      <c r="B8" s="121" t="s">
        <v>164</v>
      </c>
      <c r="W8" s="128">
        <v>10</v>
      </c>
      <c r="X8" s="126">
        <v>10</v>
      </c>
      <c r="Y8" s="126">
        <v>1.9990298972569132</v>
      </c>
      <c r="Z8" s="126">
        <v>0.83656594558630304</v>
      </c>
      <c r="AA8" s="126">
        <v>0.11658363203347751</v>
      </c>
      <c r="AB8" s="126">
        <v>9.7529896371971722E-2</v>
      </c>
      <c r="AC8" s="126">
        <v>2.0965597936288849</v>
      </c>
      <c r="AD8" s="127">
        <v>124.89923939241753</v>
      </c>
    </row>
    <row r="9" spans="1:30" x14ac:dyDescent="0.25">
      <c r="W9" s="128">
        <v>25</v>
      </c>
      <c r="X9" s="126">
        <v>4</v>
      </c>
      <c r="Y9" s="126">
        <v>1.9990298972569132</v>
      </c>
      <c r="Z9" s="126">
        <v>1.2906039194883534</v>
      </c>
      <c r="AA9" s="126">
        <v>0.11658363203347751</v>
      </c>
      <c r="AB9" s="126">
        <v>0.15046329245059403</v>
      </c>
      <c r="AC9" s="126">
        <v>2.1494931897075071</v>
      </c>
      <c r="AD9" s="127">
        <v>141.08901117245938</v>
      </c>
    </row>
    <row r="10" spans="1:30" ht="18.75" x14ac:dyDescent="0.25">
      <c r="B10" s="121" t="s">
        <v>270</v>
      </c>
      <c r="E10" s="121" t="s">
        <v>165</v>
      </c>
      <c r="W10" s="128">
        <v>50</v>
      </c>
      <c r="X10" s="126">
        <v>2</v>
      </c>
      <c r="Y10" s="126">
        <v>1.9990298972569132</v>
      </c>
      <c r="Z10" s="126">
        <v>1.781340137143141</v>
      </c>
      <c r="AA10" s="126">
        <v>0.11658363203347751</v>
      </c>
      <c r="AB10" s="126">
        <v>0.20767510307516029</v>
      </c>
      <c r="AC10" s="126">
        <v>2.2067050003320734</v>
      </c>
      <c r="AD10" s="127">
        <v>160.95519565531936</v>
      </c>
    </row>
    <row r="11" spans="1:30" x14ac:dyDescent="0.25">
      <c r="E11" s="121" t="s">
        <v>166</v>
      </c>
      <c r="W11" s="128">
        <v>100</v>
      </c>
      <c r="X11" s="126">
        <v>1</v>
      </c>
      <c r="Y11" s="126">
        <v>1.9990298972569132</v>
      </c>
      <c r="Z11" s="126">
        <v>2.099906489723272</v>
      </c>
      <c r="AA11" s="126">
        <v>0.11658363203347751</v>
      </c>
      <c r="AB11" s="126">
        <v>0.24481472550260935</v>
      </c>
      <c r="AC11" s="126">
        <v>2.2438446227595223</v>
      </c>
      <c r="AD11" s="127">
        <v>175.32531294452551</v>
      </c>
    </row>
    <row r="12" spans="1:30" x14ac:dyDescent="0.25">
      <c r="E12" s="121" t="s">
        <v>167</v>
      </c>
      <c r="W12" s="128">
        <v>200</v>
      </c>
      <c r="X12" s="126">
        <v>0.5</v>
      </c>
      <c r="Y12" s="126">
        <v>1.9990298972569132</v>
      </c>
      <c r="Z12" s="126">
        <v>2.3921143286999791</v>
      </c>
      <c r="AA12" s="126">
        <v>0.11658363203347751</v>
      </c>
      <c r="AB12" s="126">
        <v>0.2788813766791674</v>
      </c>
      <c r="AC12" s="126">
        <v>2.2779112739360805</v>
      </c>
      <c r="AD12" s="127">
        <v>189.63184650759683</v>
      </c>
    </row>
    <row r="13" spans="1:30" x14ac:dyDescent="0.25">
      <c r="B13" s="121" t="s">
        <v>184</v>
      </c>
    </row>
    <row r="14" spans="1:30" ht="18.75" x14ac:dyDescent="0.25">
      <c r="B14" s="121" t="s">
        <v>168</v>
      </c>
      <c r="C14" s="129">
        <f>R4</f>
        <v>10690000</v>
      </c>
      <c r="D14" s="121" t="s">
        <v>271</v>
      </c>
      <c r="E14" s="130">
        <f>C14/1000000</f>
        <v>10.69</v>
      </c>
      <c r="F14" s="121" t="s">
        <v>272</v>
      </c>
      <c r="K14" s="121" t="s">
        <v>273</v>
      </c>
    </row>
    <row r="15" spans="1:30" x14ac:dyDescent="0.25">
      <c r="B15" s="121" t="s">
        <v>169</v>
      </c>
      <c r="C15" s="121">
        <v>6100</v>
      </c>
      <c r="D15" s="121" t="s">
        <v>170</v>
      </c>
      <c r="E15" s="130">
        <f>C15/1000</f>
        <v>6.1</v>
      </c>
      <c r="F15" s="121" t="s">
        <v>171</v>
      </c>
      <c r="G15" s="130">
        <f>E15*1000*3.281</f>
        <v>20014.100000000002</v>
      </c>
      <c r="H15" s="121" t="s">
        <v>172</v>
      </c>
      <c r="K15" s="121" t="s">
        <v>173</v>
      </c>
    </row>
    <row r="16" spans="1:30" x14ac:dyDescent="0.25">
      <c r="B16" s="121" t="s">
        <v>174</v>
      </c>
      <c r="E16" s="215">
        <f>P19</f>
        <v>8.1967213114754103E-3</v>
      </c>
      <c r="F16" s="121" t="s">
        <v>175</v>
      </c>
      <c r="K16" s="121" t="s">
        <v>176</v>
      </c>
    </row>
    <row r="17" spans="1:16" x14ac:dyDescent="0.25">
      <c r="B17" s="121" t="s">
        <v>177</v>
      </c>
      <c r="C17" s="121">
        <v>0.5</v>
      </c>
      <c r="K17" s="121" t="s">
        <v>162</v>
      </c>
    </row>
    <row r="18" spans="1:16" x14ac:dyDescent="0.25">
      <c r="B18" s="121" t="s">
        <v>186</v>
      </c>
    </row>
    <row r="19" spans="1:16" ht="18.75" x14ac:dyDescent="0.35">
      <c r="B19" s="121" t="s">
        <v>276</v>
      </c>
      <c r="C19" s="131">
        <f>0.00013*((G15^0.77)/(E16^0.385))</f>
        <v>1.6951988827444693</v>
      </c>
      <c r="D19" s="121" t="s">
        <v>187</v>
      </c>
      <c r="P19" s="121">
        <f>(192-142)/6100</f>
        <v>8.1967213114754103E-3</v>
      </c>
    </row>
    <row r="21" spans="1:16" x14ac:dyDescent="0.25">
      <c r="B21" s="181" t="s">
        <v>185</v>
      </c>
      <c r="C21" s="181">
        <v>1.01</v>
      </c>
      <c r="D21" s="181">
        <v>2</v>
      </c>
      <c r="E21" s="181">
        <v>5</v>
      </c>
      <c r="F21" s="181">
        <v>10</v>
      </c>
      <c r="G21" s="181">
        <v>25</v>
      </c>
      <c r="H21" s="181">
        <v>50</v>
      </c>
      <c r="I21" s="181">
        <v>100</v>
      </c>
      <c r="J21" s="181">
        <v>200</v>
      </c>
    </row>
    <row r="22" spans="1:16" ht="18.75" x14ac:dyDescent="0.35">
      <c r="B22" s="216" t="s">
        <v>303</v>
      </c>
      <c r="C22" s="230">
        <f>AD5</f>
        <v>54.408882328073595</v>
      </c>
      <c r="D22" s="230">
        <f>AD6</f>
        <v>79.514096993229614</v>
      </c>
      <c r="E22" s="230">
        <f>AD7</f>
        <v>99.377418797281294</v>
      </c>
      <c r="F22" s="230">
        <f>AD8</f>
        <v>124.89923939241753</v>
      </c>
      <c r="G22" s="230">
        <f>AD9</f>
        <v>141.08901117245938</v>
      </c>
      <c r="H22" s="230">
        <f>AD10</f>
        <v>160.95519565531936</v>
      </c>
      <c r="I22" s="230">
        <f>AD11</f>
        <v>175.32531294452551</v>
      </c>
      <c r="J22" s="230">
        <f>AD12</f>
        <v>189.63184650759683</v>
      </c>
    </row>
    <row r="23" spans="1:16" ht="18.75" x14ac:dyDescent="0.35">
      <c r="B23" s="216" t="s">
        <v>304</v>
      </c>
      <c r="C23" s="230">
        <f>(C22/24)*((24/$C$19)^(2/3))</f>
        <v>13.267393774443576</v>
      </c>
      <c r="D23" s="230">
        <f t="shared" ref="D23:J23" si="0">(D22/24)*((24/$C$19)^(2/3))</f>
        <v>19.389202466380247</v>
      </c>
      <c r="E23" s="230">
        <f t="shared" si="0"/>
        <v>24.232796026229341</v>
      </c>
      <c r="F23" s="230">
        <f t="shared" si="0"/>
        <v>30.456192449531045</v>
      </c>
      <c r="G23" s="230">
        <f t="shared" si="0"/>
        <v>34.404005161966786</v>
      </c>
      <c r="H23" s="230">
        <f t="shared" si="0"/>
        <v>39.248296774879542</v>
      </c>
      <c r="I23" s="230">
        <f t="shared" si="0"/>
        <v>42.752393835929908</v>
      </c>
      <c r="J23" s="230">
        <f t="shared" si="0"/>
        <v>46.240986253323186</v>
      </c>
    </row>
    <row r="24" spans="1:16" ht="20.25" x14ac:dyDescent="0.35">
      <c r="B24" s="216" t="s">
        <v>310</v>
      </c>
      <c r="C24" s="230">
        <f>0.278*$C$17*C23*$E$14</f>
        <v>19.714153083383454</v>
      </c>
      <c r="D24" s="230">
        <f t="shared" ref="D24:J24" si="1">0.278*$C$17*D23*$E$14</f>
        <v>28.810609836819076</v>
      </c>
      <c r="E24" s="230">
        <f t="shared" si="1"/>
        <v>36.007753943334443</v>
      </c>
      <c r="F24" s="230">
        <f t="shared" si="1"/>
        <v>45.255160922682677</v>
      </c>
      <c r="G24" s="230">
        <f t="shared" si="1"/>
        <v>51.121255310218068</v>
      </c>
      <c r="H24" s="230">
        <f t="shared" si="1"/>
        <v>58.319436660761262</v>
      </c>
      <c r="I24" s="230">
        <f t="shared" si="1"/>
        <v>63.526209524746612</v>
      </c>
      <c r="J24" s="230">
        <f t="shared" si="1"/>
        <v>68.70994388367545</v>
      </c>
      <c r="N24" s="132"/>
    </row>
    <row r="25" spans="1:16" x14ac:dyDescent="0.25">
      <c r="N25" s="133"/>
    </row>
    <row r="27" spans="1:16" x14ac:dyDescent="0.25">
      <c r="A27" s="121">
        <v>2</v>
      </c>
      <c r="B27" s="121" t="s">
        <v>234</v>
      </c>
    </row>
    <row r="29" spans="1:16" x14ac:dyDescent="0.25">
      <c r="B29" s="121" t="s">
        <v>236</v>
      </c>
    </row>
    <row r="31" spans="1:16" x14ac:dyDescent="0.25">
      <c r="B31" s="121" t="s">
        <v>237</v>
      </c>
    </row>
    <row r="32" spans="1:16" ht="18.75" x14ac:dyDescent="0.25">
      <c r="B32" s="121" t="s">
        <v>274</v>
      </c>
    </row>
    <row r="33" spans="1:6" x14ac:dyDescent="0.25">
      <c r="B33" s="121" t="s">
        <v>238</v>
      </c>
    </row>
    <row r="35" spans="1:6" ht="18.75" x14ac:dyDescent="0.25">
      <c r="B35" s="125" t="s">
        <v>32</v>
      </c>
      <c r="C35" s="125" t="s">
        <v>311</v>
      </c>
      <c r="D35" s="125" t="s">
        <v>312</v>
      </c>
      <c r="E35" s="125" t="s">
        <v>143</v>
      </c>
      <c r="F35" s="125" t="s">
        <v>240</v>
      </c>
    </row>
    <row r="36" spans="1:6" x14ac:dyDescent="0.25">
      <c r="B36" s="125">
        <v>2010</v>
      </c>
      <c r="C36" s="182">
        <f>'anlsa frek,hjn rncn,chi-khadrat'!E5/1000</f>
        <v>0.115</v>
      </c>
      <c r="D36" s="128">
        <f>$C$14</f>
        <v>10690000</v>
      </c>
      <c r="E36" s="125">
        <f>USLE!$G$132</f>
        <v>0.49099999999999999</v>
      </c>
      <c r="F36" s="126">
        <f>C36*D36*E36</f>
        <v>603610.85</v>
      </c>
    </row>
    <row r="37" spans="1:6" x14ac:dyDescent="0.25">
      <c r="B37" s="125">
        <v>2011</v>
      </c>
      <c r="C37" s="182">
        <f>'anlsa frek,hjn rncn,chi-khadrat'!E6/1000</f>
        <v>0.1</v>
      </c>
      <c r="D37" s="128">
        <f t="shared" ref="D37:D45" si="2">$C$14</f>
        <v>10690000</v>
      </c>
      <c r="E37" s="125">
        <f>USLE!$G$132</f>
        <v>0.49099999999999999</v>
      </c>
      <c r="F37" s="126">
        <f t="shared" ref="F37:F45" si="3">C37*D37*E37</f>
        <v>524879</v>
      </c>
    </row>
    <row r="38" spans="1:6" x14ac:dyDescent="0.25">
      <c r="B38" s="125">
        <v>2012</v>
      </c>
      <c r="C38" s="182">
        <f>'anlsa frek,hjn rncn,chi-khadrat'!E7/1000</f>
        <v>0.104</v>
      </c>
      <c r="D38" s="128">
        <f t="shared" si="2"/>
        <v>10690000</v>
      </c>
      <c r="E38" s="125">
        <f>USLE!$G$132</f>
        <v>0.49099999999999999</v>
      </c>
      <c r="F38" s="126">
        <f t="shared" si="3"/>
        <v>545874.16</v>
      </c>
    </row>
    <row r="39" spans="1:6" x14ac:dyDescent="0.25">
      <c r="B39" s="125">
        <v>2013</v>
      </c>
      <c r="C39" s="182">
        <f>'anlsa frek,hjn rncn,chi-khadrat'!E8/1000</f>
        <v>8.7999999999999995E-2</v>
      </c>
      <c r="D39" s="128">
        <f t="shared" si="2"/>
        <v>10690000</v>
      </c>
      <c r="E39" s="125">
        <f>USLE!$G$132</f>
        <v>0.49099999999999999</v>
      </c>
      <c r="F39" s="126">
        <f t="shared" si="3"/>
        <v>461893.52</v>
      </c>
    </row>
    <row r="40" spans="1:6" x14ac:dyDescent="0.25">
      <c r="B40" s="125">
        <v>2014</v>
      </c>
      <c r="C40" s="182">
        <f>'anlsa frek,hjn rncn,chi-khadrat'!E9/1000</f>
        <v>9.1999999999999998E-2</v>
      </c>
      <c r="D40" s="128">
        <f t="shared" si="2"/>
        <v>10690000</v>
      </c>
      <c r="E40" s="125">
        <f>USLE!$G$132</f>
        <v>0.49099999999999999</v>
      </c>
      <c r="F40" s="126">
        <f t="shared" si="3"/>
        <v>482888.68</v>
      </c>
    </row>
    <row r="41" spans="1:6" x14ac:dyDescent="0.25">
      <c r="B41" s="125">
        <v>2015</v>
      </c>
      <c r="C41" s="182">
        <f>'anlsa frek,hjn rncn,chi-khadrat'!E10/1000</f>
        <v>0.1</v>
      </c>
      <c r="D41" s="128">
        <f t="shared" si="2"/>
        <v>10690000</v>
      </c>
      <c r="E41" s="125">
        <f>USLE!$G$132</f>
        <v>0.49099999999999999</v>
      </c>
      <c r="F41" s="126">
        <f t="shared" si="3"/>
        <v>524879</v>
      </c>
    </row>
    <row r="42" spans="1:6" x14ac:dyDescent="0.25">
      <c r="B42" s="125">
        <v>2016</v>
      </c>
      <c r="C42" s="182">
        <f>'anlsa frek,hjn rncn,chi-khadrat'!E11/1000</f>
        <v>0.06</v>
      </c>
      <c r="D42" s="128">
        <f t="shared" si="2"/>
        <v>10690000</v>
      </c>
      <c r="E42" s="125">
        <f>USLE!$G$132</f>
        <v>0.49099999999999999</v>
      </c>
      <c r="F42" s="126">
        <f t="shared" si="3"/>
        <v>314927.40000000002</v>
      </c>
    </row>
    <row r="43" spans="1:6" x14ac:dyDescent="0.25">
      <c r="B43" s="125">
        <v>2017</v>
      </c>
      <c r="C43" s="182">
        <f>'anlsa frek,hjn rncn,chi-khadrat'!E12/1000</f>
        <v>0.16900000000000001</v>
      </c>
      <c r="D43" s="128">
        <f t="shared" si="2"/>
        <v>10690000</v>
      </c>
      <c r="E43" s="125">
        <f>USLE!$G$132</f>
        <v>0.49099999999999999</v>
      </c>
      <c r="F43" s="126">
        <f t="shared" si="3"/>
        <v>887045.51000000013</v>
      </c>
    </row>
    <row r="44" spans="1:6" x14ac:dyDescent="0.25">
      <c r="B44" s="125">
        <v>2018</v>
      </c>
      <c r="C44" s="182">
        <f>'anlsa frek,hjn rncn,chi-khadrat'!E13/1000</f>
        <v>8.3000000000000004E-2</v>
      </c>
      <c r="D44" s="128">
        <f t="shared" si="2"/>
        <v>10690000</v>
      </c>
      <c r="E44" s="125">
        <f>USLE!$G$132</f>
        <v>0.49099999999999999</v>
      </c>
      <c r="F44" s="126">
        <f t="shared" si="3"/>
        <v>435649.57</v>
      </c>
    </row>
    <row r="45" spans="1:6" x14ac:dyDescent="0.25">
      <c r="B45" s="125">
        <v>2019</v>
      </c>
      <c r="C45" s="182">
        <f>'anlsa frek,hjn rncn,chi-khadrat'!E14/1000</f>
        <v>0.12</v>
      </c>
      <c r="D45" s="128">
        <f t="shared" si="2"/>
        <v>10690000</v>
      </c>
      <c r="E45" s="125">
        <f>USLE!$G$132</f>
        <v>0.49099999999999999</v>
      </c>
      <c r="F45" s="126">
        <f t="shared" si="3"/>
        <v>629854.80000000005</v>
      </c>
    </row>
    <row r="48" spans="1:6" x14ac:dyDescent="0.25">
      <c r="A48" s="121">
        <v>3</v>
      </c>
      <c r="B48" s="121" t="s">
        <v>241</v>
      </c>
    </row>
    <row r="50" spans="1:10" ht="18.75" x14ac:dyDescent="0.25">
      <c r="B50" s="121" t="s">
        <v>275</v>
      </c>
    </row>
    <row r="52" spans="1:10" x14ac:dyDescent="0.25">
      <c r="B52" s="125" t="s">
        <v>32</v>
      </c>
      <c r="C52" s="125" t="s">
        <v>242</v>
      </c>
      <c r="D52" s="125" t="s">
        <v>240</v>
      </c>
      <c r="E52" s="227" t="s">
        <v>243</v>
      </c>
      <c r="F52" s="224" t="s">
        <v>313</v>
      </c>
      <c r="G52" s="229" t="s">
        <v>18</v>
      </c>
    </row>
    <row r="53" spans="1:10" x14ac:dyDescent="0.25">
      <c r="B53" s="125">
        <v>2010</v>
      </c>
      <c r="C53" s="125">
        <v>11.08</v>
      </c>
      <c r="D53" s="126">
        <f>F36</f>
        <v>603610.85</v>
      </c>
      <c r="E53" s="228">
        <f>$I$24</f>
        <v>63.526209524746612</v>
      </c>
      <c r="F53" s="224">
        <v>0.56000000000000005</v>
      </c>
      <c r="G53" s="138">
        <f>C53*((D53*E53)^F53)</f>
        <v>195621.84444605713</v>
      </c>
      <c r="J53" s="222"/>
    </row>
    <row r="54" spans="1:10" x14ac:dyDescent="0.25">
      <c r="B54" s="125">
        <v>2011</v>
      </c>
      <c r="C54" s="125">
        <v>11.08</v>
      </c>
      <c r="D54" s="126">
        <f t="shared" ref="D54:D62" si="4">F37</f>
        <v>524879</v>
      </c>
      <c r="E54" s="228">
        <f t="shared" ref="E54:E62" si="5">$I$24</f>
        <v>63.526209524746612</v>
      </c>
      <c r="F54" s="224">
        <v>0.56000000000000005</v>
      </c>
      <c r="G54" s="138">
        <f t="shared" ref="G54:G62" si="6">C54*((D54*E54)^F54)</f>
        <v>180894.99825755673</v>
      </c>
      <c r="J54" s="222"/>
    </row>
    <row r="55" spans="1:10" x14ac:dyDescent="0.25">
      <c r="B55" s="125">
        <v>2012</v>
      </c>
      <c r="C55" s="125">
        <v>11.08</v>
      </c>
      <c r="D55" s="126">
        <f t="shared" si="4"/>
        <v>545874.16</v>
      </c>
      <c r="E55" s="228">
        <f t="shared" si="5"/>
        <v>63.526209524746612</v>
      </c>
      <c r="F55" s="224">
        <v>0.56000000000000005</v>
      </c>
      <c r="G55" s="138">
        <f t="shared" si="6"/>
        <v>184912.05657194843</v>
      </c>
      <c r="J55" s="222"/>
    </row>
    <row r="56" spans="1:10" x14ac:dyDescent="0.25">
      <c r="B56" s="125">
        <v>2013</v>
      </c>
      <c r="C56" s="125">
        <v>11.08</v>
      </c>
      <c r="D56" s="126">
        <f t="shared" si="4"/>
        <v>461893.52</v>
      </c>
      <c r="E56" s="228">
        <f t="shared" si="5"/>
        <v>63.526209524746612</v>
      </c>
      <c r="F56" s="224">
        <v>0.56000000000000005</v>
      </c>
      <c r="G56" s="138">
        <f t="shared" si="6"/>
        <v>168397.97128955316</v>
      </c>
      <c r="J56" s="222"/>
    </row>
    <row r="57" spans="1:10" x14ac:dyDescent="0.25">
      <c r="B57" s="125">
        <v>2014</v>
      </c>
      <c r="C57" s="125">
        <v>11.08</v>
      </c>
      <c r="D57" s="126">
        <f t="shared" si="4"/>
        <v>482888.68</v>
      </c>
      <c r="E57" s="228">
        <f t="shared" si="5"/>
        <v>63.526209524746612</v>
      </c>
      <c r="F57" s="224">
        <v>0.56000000000000005</v>
      </c>
      <c r="G57" s="138">
        <f t="shared" si="6"/>
        <v>172642.51025414889</v>
      </c>
      <c r="J57" s="222"/>
    </row>
    <row r="58" spans="1:10" x14ac:dyDescent="0.25">
      <c r="B58" s="125">
        <v>2015</v>
      </c>
      <c r="C58" s="125">
        <v>11.08</v>
      </c>
      <c r="D58" s="126">
        <f t="shared" si="4"/>
        <v>524879</v>
      </c>
      <c r="E58" s="228">
        <f t="shared" si="5"/>
        <v>63.526209524746612</v>
      </c>
      <c r="F58" s="224">
        <v>0.56000000000000005</v>
      </c>
      <c r="G58" s="138">
        <f t="shared" si="6"/>
        <v>180894.99825755673</v>
      </c>
      <c r="J58" s="222"/>
    </row>
    <row r="59" spans="1:10" x14ac:dyDescent="0.25">
      <c r="B59" s="125">
        <v>2016</v>
      </c>
      <c r="C59" s="125">
        <v>11.08</v>
      </c>
      <c r="D59" s="126">
        <f t="shared" si="4"/>
        <v>314927.40000000002</v>
      </c>
      <c r="E59" s="228">
        <f t="shared" si="5"/>
        <v>63.526209524746612</v>
      </c>
      <c r="F59" s="224">
        <v>0.56000000000000005</v>
      </c>
      <c r="G59" s="138">
        <f t="shared" si="6"/>
        <v>135891.17661758472</v>
      </c>
      <c r="J59" s="222"/>
    </row>
    <row r="60" spans="1:10" x14ac:dyDescent="0.25">
      <c r="B60" s="125">
        <v>2017</v>
      </c>
      <c r="C60" s="125">
        <v>11.08</v>
      </c>
      <c r="D60" s="126">
        <f t="shared" si="4"/>
        <v>887045.51000000013</v>
      </c>
      <c r="E60" s="228">
        <f t="shared" si="5"/>
        <v>63.526209524746612</v>
      </c>
      <c r="F60" s="224">
        <v>0.56000000000000005</v>
      </c>
      <c r="G60" s="138">
        <f t="shared" si="6"/>
        <v>242685.10020107156</v>
      </c>
      <c r="J60" s="222"/>
    </row>
    <row r="61" spans="1:10" x14ac:dyDescent="0.25">
      <c r="B61" s="125">
        <v>2018</v>
      </c>
      <c r="C61" s="125">
        <v>11.08</v>
      </c>
      <c r="D61" s="126">
        <f t="shared" si="4"/>
        <v>435649.57</v>
      </c>
      <c r="E61" s="228">
        <f t="shared" si="5"/>
        <v>63.526209524746612</v>
      </c>
      <c r="F61" s="224">
        <v>0.56000000000000005</v>
      </c>
      <c r="G61" s="138">
        <f t="shared" si="6"/>
        <v>162970.98503145133</v>
      </c>
      <c r="J61" s="222"/>
    </row>
    <row r="62" spans="1:10" x14ac:dyDescent="0.25">
      <c r="B62" s="125">
        <v>2019</v>
      </c>
      <c r="C62" s="125">
        <v>11.08</v>
      </c>
      <c r="D62" s="126">
        <f t="shared" si="4"/>
        <v>629854.80000000005</v>
      </c>
      <c r="E62" s="228">
        <f t="shared" si="5"/>
        <v>63.526209524746612</v>
      </c>
      <c r="F62" s="224">
        <v>0.56000000000000005</v>
      </c>
      <c r="G62" s="138">
        <f t="shared" si="6"/>
        <v>200340.17858877353</v>
      </c>
      <c r="J62" s="222"/>
    </row>
    <row r="63" spans="1:10" x14ac:dyDescent="0.25">
      <c r="F63" s="224"/>
    </row>
    <row r="64" spans="1:10" x14ac:dyDescent="0.25">
      <c r="A64" s="121">
        <v>4</v>
      </c>
      <c r="B64" s="121" t="s">
        <v>145</v>
      </c>
    </row>
    <row r="66" spans="2:7" x14ac:dyDescent="0.25">
      <c r="B66" s="121" t="s">
        <v>244</v>
      </c>
    </row>
    <row r="67" spans="2:7" x14ac:dyDescent="0.25">
      <c r="B67" s="121" t="s">
        <v>245</v>
      </c>
    </row>
    <row r="68" spans="2:7" x14ac:dyDescent="0.25">
      <c r="B68" s="121" t="s">
        <v>246</v>
      </c>
    </row>
    <row r="69" spans="2:7" x14ac:dyDescent="0.25">
      <c r="B69" s="121" t="s">
        <v>247</v>
      </c>
    </row>
    <row r="71" spans="2:7" x14ac:dyDescent="0.25">
      <c r="B71" s="400" t="s">
        <v>32</v>
      </c>
      <c r="C71" s="400" t="s">
        <v>18</v>
      </c>
      <c r="D71" s="400" t="s">
        <v>142</v>
      </c>
      <c r="E71" s="400" t="s">
        <v>136</v>
      </c>
      <c r="F71" s="400" t="s">
        <v>143</v>
      </c>
      <c r="G71" s="135" t="s">
        <v>145</v>
      </c>
    </row>
    <row r="72" spans="2:7" x14ac:dyDescent="0.25">
      <c r="B72" s="400"/>
      <c r="C72" s="400"/>
      <c r="D72" s="400"/>
      <c r="E72" s="400"/>
      <c r="F72" s="400"/>
      <c r="G72" s="136" t="s">
        <v>305</v>
      </c>
    </row>
    <row r="73" spans="2:7" x14ac:dyDescent="0.25">
      <c r="B73" s="125">
        <v>2010</v>
      </c>
      <c r="C73" s="126">
        <f t="shared" ref="C73:C82" si="7">G53</f>
        <v>195621.84444605713</v>
      </c>
      <c r="D73" s="125">
        <f>USLE!E139</f>
        <v>0.23</v>
      </c>
      <c r="E73" s="125">
        <f>USLE!F139</f>
        <v>0.4</v>
      </c>
      <c r="F73" s="125">
        <f>USLE!G139</f>
        <v>0.49099999999999999</v>
      </c>
      <c r="G73" s="126">
        <f>C73*D73*E73*F73</f>
        <v>8836.6299573172946</v>
      </c>
    </row>
    <row r="74" spans="2:7" x14ac:dyDescent="0.25">
      <c r="B74" s="125">
        <v>2011</v>
      </c>
      <c r="C74" s="126">
        <f t="shared" si="7"/>
        <v>180894.99825755673</v>
      </c>
      <c r="D74" s="125">
        <f>USLE!E140</f>
        <v>0.23</v>
      </c>
      <c r="E74" s="125">
        <f>USLE!F140</f>
        <v>0.4</v>
      </c>
      <c r="F74" s="125">
        <f>USLE!G140</f>
        <v>0.49099999999999999</v>
      </c>
      <c r="G74" s="126">
        <f t="shared" ref="G74:G82" si="8">C74*D74*E74*F74</f>
        <v>8171.3888612903538</v>
      </c>
    </row>
    <row r="75" spans="2:7" x14ac:dyDescent="0.25">
      <c r="B75" s="125">
        <v>2012</v>
      </c>
      <c r="C75" s="126">
        <f t="shared" si="7"/>
        <v>184912.05657194843</v>
      </c>
      <c r="D75" s="125">
        <f>USLE!E141</f>
        <v>0.23</v>
      </c>
      <c r="E75" s="125">
        <f>USLE!F141</f>
        <v>0.4</v>
      </c>
      <c r="F75" s="125">
        <f>USLE!G141</f>
        <v>0.49099999999999999</v>
      </c>
      <c r="G75" s="126">
        <f t="shared" si="8"/>
        <v>8352.8474194680548</v>
      </c>
    </row>
    <row r="76" spans="2:7" x14ac:dyDescent="0.25">
      <c r="B76" s="125">
        <v>2013</v>
      </c>
      <c r="C76" s="126">
        <f t="shared" si="7"/>
        <v>168397.97128955316</v>
      </c>
      <c r="D76" s="125">
        <f>USLE!E142</f>
        <v>0.23</v>
      </c>
      <c r="E76" s="125">
        <f>USLE!F142</f>
        <v>0.4</v>
      </c>
      <c r="F76" s="125">
        <f>USLE!G142</f>
        <v>0.49099999999999999</v>
      </c>
      <c r="G76" s="126">
        <f t="shared" si="8"/>
        <v>7606.873159091695</v>
      </c>
    </row>
    <row r="77" spans="2:7" x14ac:dyDescent="0.25">
      <c r="B77" s="125">
        <v>2014</v>
      </c>
      <c r="C77" s="126">
        <f t="shared" si="7"/>
        <v>172642.51025414889</v>
      </c>
      <c r="D77" s="125">
        <f>USLE!E143</f>
        <v>0.23</v>
      </c>
      <c r="E77" s="125">
        <f>USLE!F143</f>
        <v>0.4</v>
      </c>
      <c r="F77" s="125">
        <f>USLE!G143</f>
        <v>0.49099999999999999</v>
      </c>
      <c r="G77" s="126">
        <f t="shared" si="8"/>
        <v>7798.6074732004136</v>
      </c>
    </row>
    <row r="78" spans="2:7" x14ac:dyDescent="0.25">
      <c r="B78" s="125">
        <v>2015</v>
      </c>
      <c r="C78" s="126">
        <f t="shared" si="7"/>
        <v>180894.99825755673</v>
      </c>
      <c r="D78" s="125">
        <f>USLE!E144</f>
        <v>0.23</v>
      </c>
      <c r="E78" s="125">
        <f>USLE!F144</f>
        <v>0.4</v>
      </c>
      <c r="F78" s="125">
        <f>USLE!G144</f>
        <v>0.49099999999999999</v>
      </c>
      <c r="G78" s="126">
        <f t="shared" si="8"/>
        <v>8171.3888612903538</v>
      </c>
    </row>
    <row r="79" spans="2:7" x14ac:dyDescent="0.25">
      <c r="B79" s="125">
        <v>2016</v>
      </c>
      <c r="C79" s="126">
        <f t="shared" si="7"/>
        <v>135891.17661758472</v>
      </c>
      <c r="D79" s="125">
        <f>USLE!E145</f>
        <v>0.23</v>
      </c>
      <c r="E79" s="125">
        <f>USLE!F145</f>
        <v>0.4</v>
      </c>
      <c r="F79" s="125">
        <f>USLE!G145</f>
        <v>0.49099999999999999</v>
      </c>
      <c r="G79" s="126">
        <f t="shared" si="8"/>
        <v>6138.4762301695373</v>
      </c>
    </row>
    <row r="80" spans="2:7" x14ac:dyDescent="0.25">
      <c r="B80" s="125">
        <v>2017</v>
      </c>
      <c r="C80" s="126">
        <f t="shared" si="7"/>
        <v>242685.10020107156</v>
      </c>
      <c r="D80" s="125">
        <f>USLE!E146</f>
        <v>0.23</v>
      </c>
      <c r="E80" s="125">
        <f>USLE!F146</f>
        <v>0.4</v>
      </c>
      <c r="F80" s="125">
        <f>USLE!G146</f>
        <v>0.49099999999999999</v>
      </c>
      <c r="G80" s="126">
        <f t="shared" si="8"/>
        <v>10962.571346282806</v>
      </c>
    </row>
    <row r="81" spans="1:7" x14ac:dyDescent="0.25">
      <c r="B81" s="125">
        <v>2018</v>
      </c>
      <c r="C81" s="126">
        <f t="shared" si="7"/>
        <v>162970.98503145133</v>
      </c>
      <c r="D81" s="125">
        <f>USLE!E147</f>
        <v>0.23</v>
      </c>
      <c r="E81" s="125">
        <f>USLE!F147</f>
        <v>0.4</v>
      </c>
      <c r="F81" s="125">
        <f>USLE!G147</f>
        <v>0.49099999999999999</v>
      </c>
      <c r="G81" s="126">
        <f t="shared" si="8"/>
        <v>7361.7253358407197</v>
      </c>
    </row>
    <row r="82" spans="1:7" x14ac:dyDescent="0.25">
      <c r="B82" s="125">
        <v>2019</v>
      </c>
      <c r="C82" s="126">
        <f t="shared" si="7"/>
        <v>200340.17858877353</v>
      </c>
      <c r="D82" s="125">
        <f>USLE!E148</f>
        <v>0.23</v>
      </c>
      <c r="E82" s="125">
        <f>USLE!F148</f>
        <v>0.4</v>
      </c>
      <c r="F82" s="125">
        <f>USLE!G148</f>
        <v>0.49099999999999999</v>
      </c>
      <c r="G82" s="126">
        <f t="shared" si="8"/>
        <v>9049.7665472120789</v>
      </c>
    </row>
    <row r="83" spans="1:7" x14ac:dyDescent="0.25">
      <c r="F83" s="137" t="s">
        <v>39</v>
      </c>
      <c r="G83" s="138">
        <f>SUM(G73:G82)</f>
        <v>82450.275191163295</v>
      </c>
    </row>
    <row r="85" spans="1:7" x14ac:dyDescent="0.25">
      <c r="B85" s="121" t="s">
        <v>253</v>
      </c>
      <c r="D85" s="123" t="s">
        <v>84</v>
      </c>
      <c r="E85" s="139">
        <f>G83/10</f>
        <v>8245.0275191163291</v>
      </c>
    </row>
    <row r="87" spans="1:7" x14ac:dyDescent="0.25">
      <c r="A87" s="121">
        <v>5</v>
      </c>
      <c r="B87" s="121" t="s">
        <v>248</v>
      </c>
    </row>
    <row r="89" spans="1:7" x14ac:dyDescent="0.25">
      <c r="B89" s="398" t="s">
        <v>32</v>
      </c>
      <c r="C89" s="140" t="s">
        <v>145</v>
      </c>
      <c r="D89" s="141" t="s">
        <v>239</v>
      </c>
      <c r="E89" s="142" t="s">
        <v>248</v>
      </c>
    </row>
    <row r="90" spans="1:7" x14ac:dyDescent="0.25">
      <c r="B90" s="399"/>
      <c r="C90" s="143" t="s">
        <v>233</v>
      </c>
      <c r="D90" s="144" t="s">
        <v>249</v>
      </c>
      <c r="E90" s="145" t="s">
        <v>150</v>
      </c>
    </row>
    <row r="91" spans="1:7" x14ac:dyDescent="0.25">
      <c r="B91" s="125">
        <v>2010</v>
      </c>
      <c r="C91" s="126">
        <f t="shared" ref="C91:C100" si="9">G73</f>
        <v>8836.6299573172946</v>
      </c>
      <c r="D91" s="128">
        <f>USLE!$H$151</f>
        <v>1069</v>
      </c>
      <c r="E91" s="134">
        <f>C91/D91</f>
        <v>8.266258145292138</v>
      </c>
    </row>
    <row r="92" spans="1:7" x14ac:dyDescent="0.25">
      <c r="B92" s="125">
        <v>2011</v>
      </c>
      <c r="C92" s="126">
        <f t="shared" si="9"/>
        <v>8171.3888612903538</v>
      </c>
      <c r="D92" s="128">
        <f>USLE!$H$151</f>
        <v>1069</v>
      </c>
      <c r="E92" s="134">
        <f t="shared" ref="E92:E100" si="10">C92/D92</f>
        <v>7.6439559039198821</v>
      </c>
    </row>
    <row r="93" spans="1:7" x14ac:dyDescent="0.25">
      <c r="B93" s="125">
        <v>2012</v>
      </c>
      <c r="C93" s="126">
        <f t="shared" si="9"/>
        <v>8352.8474194680548</v>
      </c>
      <c r="D93" s="128">
        <f>USLE!$H$151</f>
        <v>1069</v>
      </c>
      <c r="E93" s="134">
        <f t="shared" si="10"/>
        <v>7.8137019826642238</v>
      </c>
    </row>
    <row r="94" spans="1:7" x14ac:dyDescent="0.25">
      <c r="B94" s="125">
        <v>2013</v>
      </c>
      <c r="C94" s="126">
        <f t="shared" si="9"/>
        <v>7606.873159091695</v>
      </c>
      <c r="D94" s="128">
        <f>USLE!$H$151</f>
        <v>1069</v>
      </c>
      <c r="E94" s="134">
        <f t="shared" si="10"/>
        <v>7.1158776043888636</v>
      </c>
    </row>
    <row r="95" spans="1:7" x14ac:dyDescent="0.25">
      <c r="B95" s="125">
        <v>2014</v>
      </c>
      <c r="C95" s="126">
        <f t="shared" si="9"/>
        <v>7798.6074732004136</v>
      </c>
      <c r="D95" s="128">
        <f>USLE!$H$151</f>
        <v>1069</v>
      </c>
      <c r="E95" s="134">
        <f t="shared" si="10"/>
        <v>7.2952361769882259</v>
      </c>
    </row>
    <row r="96" spans="1:7" x14ac:dyDescent="0.25">
      <c r="B96" s="125">
        <v>2015</v>
      </c>
      <c r="C96" s="126">
        <f t="shared" si="9"/>
        <v>8171.3888612903538</v>
      </c>
      <c r="D96" s="128">
        <f>USLE!$H$151</f>
        <v>1069</v>
      </c>
      <c r="E96" s="134">
        <f t="shared" si="10"/>
        <v>7.6439559039198821</v>
      </c>
    </row>
    <row r="97" spans="1:12" x14ac:dyDescent="0.25">
      <c r="B97" s="125">
        <v>2016</v>
      </c>
      <c r="C97" s="126">
        <f t="shared" si="9"/>
        <v>6138.4762301695373</v>
      </c>
      <c r="D97" s="128">
        <f>USLE!$H$151</f>
        <v>1069</v>
      </c>
      <c r="E97" s="134">
        <f t="shared" si="10"/>
        <v>5.7422602714401663</v>
      </c>
    </row>
    <row r="98" spans="1:12" x14ac:dyDescent="0.25">
      <c r="B98" s="125">
        <v>2017</v>
      </c>
      <c r="C98" s="126">
        <f t="shared" si="9"/>
        <v>10962.571346282806</v>
      </c>
      <c r="D98" s="128">
        <f>USLE!$H$151</f>
        <v>1069</v>
      </c>
      <c r="E98" s="134">
        <f t="shared" si="10"/>
        <v>10.254977873042849</v>
      </c>
    </row>
    <row r="99" spans="1:12" x14ac:dyDescent="0.25">
      <c r="B99" s="125">
        <v>2018</v>
      </c>
      <c r="C99" s="126">
        <f t="shared" si="9"/>
        <v>7361.7253358407197</v>
      </c>
      <c r="D99" s="128">
        <f>USLE!$H$151</f>
        <v>1069</v>
      </c>
      <c r="E99" s="134">
        <f t="shared" si="10"/>
        <v>6.8865531672972118</v>
      </c>
    </row>
    <row r="100" spans="1:12" x14ac:dyDescent="0.25">
      <c r="B100" s="125">
        <v>2019</v>
      </c>
      <c r="C100" s="126">
        <f t="shared" si="9"/>
        <v>9049.7665472120789</v>
      </c>
      <c r="D100" s="128">
        <f>USLE!$H$151</f>
        <v>1069</v>
      </c>
      <c r="E100" s="134">
        <f t="shared" si="10"/>
        <v>8.4656375558578851</v>
      </c>
    </row>
    <row r="102" spans="1:12" x14ac:dyDescent="0.25">
      <c r="B102" s="121" t="s">
        <v>250</v>
      </c>
      <c r="D102" s="123" t="s">
        <v>84</v>
      </c>
      <c r="E102" s="146">
        <f>SUM(E91:E100)/10</f>
        <v>7.7128414584811322</v>
      </c>
      <c r="L102" s="222"/>
    </row>
    <row r="105" spans="1:12" x14ac:dyDescent="0.25">
      <c r="A105" s="121">
        <v>6</v>
      </c>
      <c r="B105" s="121" t="s">
        <v>144</v>
      </c>
    </row>
    <row r="107" spans="1:12" x14ac:dyDescent="0.25">
      <c r="B107" s="398" t="s">
        <v>32</v>
      </c>
      <c r="C107" s="140" t="s">
        <v>248</v>
      </c>
      <c r="D107" s="398" t="s">
        <v>146</v>
      </c>
      <c r="E107" s="220" t="s">
        <v>144</v>
      </c>
    </row>
    <row r="108" spans="1:12" x14ac:dyDescent="0.25">
      <c r="B108" s="399"/>
      <c r="C108" s="143" t="s">
        <v>150</v>
      </c>
      <c r="D108" s="399"/>
      <c r="E108" s="221" t="s">
        <v>150</v>
      </c>
    </row>
    <row r="109" spans="1:12" x14ac:dyDescent="0.25">
      <c r="B109" s="125">
        <v>2010</v>
      </c>
      <c r="C109" s="134">
        <f>E91</f>
        <v>8.266258145292138</v>
      </c>
      <c r="D109" s="134">
        <f>USLE!$E$154</f>
        <v>0.21969842945240639</v>
      </c>
      <c r="E109" s="134">
        <f>C109/D109</f>
        <v>37.625476731425017</v>
      </c>
    </row>
    <row r="110" spans="1:12" x14ac:dyDescent="0.25">
      <c r="B110" s="125">
        <v>2011</v>
      </c>
      <c r="C110" s="134">
        <f t="shared" ref="C110:C118" si="11">E92</f>
        <v>7.6439559039198821</v>
      </c>
      <c r="D110" s="134">
        <f>USLE!$E$154</f>
        <v>0.21969842945240639</v>
      </c>
      <c r="E110" s="134">
        <f t="shared" ref="E110:E118" si="12">C110/D110</f>
        <v>34.792947418751595</v>
      </c>
    </row>
    <row r="111" spans="1:12" x14ac:dyDescent="0.25">
      <c r="B111" s="125">
        <v>2012</v>
      </c>
      <c r="C111" s="134">
        <f t="shared" si="11"/>
        <v>7.8137019826642238</v>
      </c>
      <c r="D111" s="134">
        <f>USLE!$E$154</f>
        <v>0.21969842945240639</v>
      </c>
      <c r="E111" s="134">
        <f t="shared" si="12"/>
        <v>35.565579609010896</v>
      </c>
    </row>
    <row r="112" spans="1:12" x14ac:dyDescent="0.25">
      <c r="B112" s="125">
        <v>2013</v>
      </c>
      <c r="C112" s="134">
        <f t="shared" si="11"/>
        <v>7.1158776043888636</v>
      </c>
      <c r="D112" s="134">
        <f>USLE!$E$154</f>
        <v>0.21969842945240639</v>
      </c>
      <c r="E112" s="134">
        <f t="shared" si="12"/>
        <v>32.389296646885619</v>
      </c>
    </row>
    <row r="113" spans="2:7" x14ac:dyDescent="0.25">
      <c r="B113" s="125">
        <v>2014</v>
      </c>
      <c r="C113" s="134">
        <f t="shared" si="11"/>
        <v>7.2952361769882259</v>
      </c>
      <c r="D113" s="134">
        <f>USLE!$E$154</f>
        <v>0.21969842945240639</v>
      </c>
      <c r="E113" s="134">
        <f t="shared" si="12"/>
        <v>33.20568196673706</v>
      </c>
    </row>
    <row r="114" spans="2:7" x14ac:dyDescent="0.25">
      <c r="B114" s="125">
        <v>2015</v>
      </c>
      <c r="C114" s="134">
        <f t="shared" si="11"/>
        <v>7.6439559039198821</v>
      </c>
      <c r="D114" s="134">
        <f>USLE!$E$154</f>
        <v>0.21969842945240639</v>
      </c>
      <c r="E114" s="134">
        <f t="shared" si="12"/>
        <v>34.792947418751595</v>
      </c>
    </row>
    <row r="115" spans="2:7" x14ac:dyDescent="0.25">
      <c r="B115" s="125">
        <v>2016</v>
      </c>
      <c r="C115" s="134">
        <f t="shared" si="11"/>
        <v>5.7422602714401663</v>
      </c>
      <c r="D115" s="134">
        <f>USLE!$E$154</f>
        <v>0.21969842945240639</v>
      </c>
      <c r="E115" s="134">
        <f t="shared" si="12"/>
        <v>26.137011018934576</v>
      </c>
    </row>
    <row r="116" spans="2:7" x14ac:dyDescent="0.25">
      <c r="B116" s="125">
        <v>2017</v>
      </c>
      <c r="C116" s="134">
        <f t="shared" si="11"/>
        <v>10.254977873042849</v>
      </c>
      <c r="D116" s="134">
        <f>USLE!$E$154</f>
        <v>0.21969842945240639</v>
      </c>
      <c r="E116" s="134">
        <f t="shared" si="12"/>
        <v>46.677520174373392</v>
      </c>
    </row>
    <row r="117" spans="2:7" x14ac:dyDescent="0.25">
      <c r="B117" s="125">
        <v>2018</v>
      </c>
      <c r="C117" s="134">
        <f t="shared" si="11"/>
        <v>6.8865531672972118</v>
      </c>
      <c r="D117" s="134">
        <f>USLE!$E$154</f>
        <v>0.21969842945240639</v>
      </c>
      <c r="E117" s="134">
        <f t="shared" si="12"/>
        <v>31.345482006684332</v>
      </c>
    </row>
    <row r="118" spans="2:7" x14ac:dyDescent="0.25">
      <c r="B118" s="125">
        <v>2019</v>
      </c>
      <c r="C118" s="134">
        <f t="shared" si="11"/>
        <v>8.4656375558578851</v>
      </c>
      <c r="D118" s="134">
        <f>USLE!$E$154</f>
        <v>0.21969842945240639</v>
      </c>
      <c r="E118" s="134">
        <f t="shared" si="12"/>
        <v>38.532990777213584</v>
      </c>
    </row>
    <row r="121" spans="2:7" x14ac:dyDescent="0.25">
      <c r="B121" s="121" t="s">
        <v>306</v>
      </c>
      <c r="D121" s="123" t="s">
        <v>84</v>
      </c>
      <c r="E121" s="139">
        <f>SUM(E109:E118)</f>
        <v>351.06493376876762</v>
      </c>
    </row>
    <row r="122" spans="2:7" x14ac:dyDescent="0.25">
      <c r="B122" s="121" t="s">
        <v>307</v>
      </c>
      <c r="D122" s="123" t="s">
        <v>84</v>
      </c>
      <c r="E122" s="139">
        <f>E121/10</f>
        <v>35.106493376876763</v>
      </c>
      <c r="G122" s="222"/>
    </row>
  </sheetData>
  <mergeCells count="8">
    <mergeCell ref="B107:B108"/>
    <mergeCell ref="D107:D108"/>
    <mergeCell ref="F71:F72"/>
    <mergeCell ref="B89:B90"/>
    <mergeCell ref="B71:B72"/>
    <mergeCell ref="C71:C72"/>
    <mergeCell ref="D71:D72"/>
    <mergeCell ref="E71:E7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3A451-F42E-4D60-BEFF-DFA0DBCDD3E7}">
  <dimension ref="B2:H10"/>
  <sheetViews>
    <sheetView workbookViewId="0">
      <selection activeCell="C10" sqref="C10:G10"/>
    </sheetView>
  </sheetViews>
  <sheetFormatPr defaultRowHeight="15" x14ac:dyDescent="0.25"/>
  <cols>
    <col min="2" max="2" width="23" customWidth="1"/>
    <col min="3" max="3" width="21" customWidth="1"/>
    <col min="4" max="4" width="18.140625" customWidth="1"/>
    <col min="5" max="5" width="13" customWidth="1"/>
    <col min="6" max="6" width="14.5703125" customWidth="1"/>
    <col min="7" max="7" width="13.140625" customWidth="1"/>
    <col min="8" max="8" width="12.85546875" customWidth="1"/>
  </cols>
  <sheetData>
    <row r="2" spans="2:8" x14ac:dyDescent="0.25">
      <c r="B2" t="s">
        <v>254</v>
      </c>
    </row>
    <row r="4" spans="2:8" x14ac:dyDescent="0.25">
      <c r="B4" s="401" t="s">
        <v>255</v>
      </c>
      <c r="C4" s="99" t="s">
        <v>248</v>
      </c>
      <c r="D4" s="384" t="s">
        <v>258</v>
      </c>
      <c r="E4" s="99" t="s">
        <v>145</v>
      </c>
      <c r="F4" s="384" t="s">
        <v>258</v>
      </c>
      <c r="G4" s="223" t="s">
        <v>318</v>
      </c>
      <c r="H4" s="403" t="s">
        <v>258</v>
      </c>
    </row>
    <row r="5" spans="2:8" x14ac:dyDescent="0.25">
      <c r="B5" s="402"/>
      <c r="C5" s="100" t="s">
        <v>150</v>
      </c>
      <c r="D5" s="385"/>
      <c r="E5" s="100" t="s">
        <v>233</v>
      </c>
      <c r="F5" s="385"/>
      <c r="G5" s="40" t="s">
        <v>150</v>
      </c>
      <c r="H5" s="404"/>
    </row>
    <row r="6" spans="2:8" x14ac:dyDescent="0.25">
      <c r="B6" s="98" t="s">
        <v>256</v>
      </c>
      <c r="C6" s="60">
        <f>USLE!F170</f>
        <v>14.653400960718296</v>
      </c>
      <c r="D6" s="59">
        <f>C6/C7</f>
        <v>1.899870629987505</v>
      </c>
      <c r="E6" s="60">
        <f>USLE!F189</f>
        <v>15664.48562700786</v>
      </c>
      <c r="F6" s="59">
        <f>E6/E7</f>
        <v>1.8998706299875054</v>
      </c>
      <c r="G6" s="62">
        <f>USLE!K142</f>
        <v>66.697795688579035</v>
      </c>
      <c r="H6" s="4">
        <f>G6/G7</f>
        <v>1.8998706299875052</v>
      </c>
    </row>
    <row r="7" spans="2:8" x14ac:dyDescent="0.25">
      <c r="B7" s="98" t="s">
        <v>257</v>
      </c>
      <c r="C7" s="60">
        <f>MUSLE!E102</f>
        <v>7.7128414584811322</v>
      </c>
      <c r="D7" s="59">
        <v>1</v>
      </c>
      <c r="E7" s="60">
        <f>MUSLE!E85</f>
        <v>8245.0275191163291</v>
      </c>
      <c r="F7" s="59">
        <v>1</v>
      </c>
      <c r="G7" s="62">
        <f>MUSLE!E122</f>
        <v>35.106493376876763</v>
      </c>
      <c r="H7" s="4">
        <v>1</v>
      </c>
    </row>
    <row r="10" spans="2:8" x14ac:dyDescent="0.25">
      <c r="C10" s="25"/>
      <c r="D10" s="38"/>
      <c r="G10" s="25"/>
    </row>
  </sheetData>
  <mergeCells count="4">
    <mergeCell ref="B4:B5"/>
    <mergeCell ref="D4:D5"/>
    <mergeCell ref="F4:F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curah hujan sta cengklik</vt:lpstr>
      <vt:lpstr>hujan daerah</vt:lpstr>
      <vt:lpstr>anlsa frek,hjn rncn,chi-khadrat</vt:lpstr>
      <vt:lpstr>uji smirnov-kolmogorov</vt:lpstr>
      <vt:lpstr>USLE</vt:lpstr>
      <vt:lpstr>MUSLE</vt:lpstr>
      <vt:lpstr>Perbandingan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</dc:creator>
  <cp:lastModifiedBy>Little</cp:lastModifiedBy>
  <dcterms:created xsi:type="dcterms:W3CDTF">2020-11-23T08:05:27Z</dcterms:created>
  <dcterms:modified xsi:type="dcterms:W3CDTF">2021-06-22T17:13:30Z</dcterms:modified>
</cp:coreProperties>
</file>